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1\Desktop\"/>
    </mc:Choice>
  </mc:AlternateContent>
  <xr:revisionPtr revIDLastSave="0" documentId="8_{C1CCB45C-3F95-4BFA-8C82-6CBD51A2CAFF}" xr6:coauthVersionLast="47" xr6:coauthVersionMax="47" xr10:uidLastSave="{00000000-0000-0000-0000-000000000000}"/>
  <bookViews>
    <workbookView xWindow="-120" yWindow="-120" windowWidth="25440" windowHeight="15990" xr2:uid="{1391B72B-ED2E-4A23-8BCC-213C28445FA2}"/>
  </bookViews>
  <sheets>
    <sheet name="Budget 2025 - 2027" sheetId="1" r:id="rId1"/>
    <sheet name="Kulfilte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0" i="1" l="1"/>
  <c r="F120" i="1"/>
  <c r="K108" i="1"/>
  <c r="P71" i="1"/>
  <c r="P96" i="1"/>
  <c r="P48" i="1"/>
  <c r="P55" i="1" s="1"/>
  <c r="D8" i="1"/>
  <c r="E8" i="1"/>
  <c r="E9" i="1"/>
  <c r="D120" i="1"/>
  <c r="D119" i="1"/>
  <c r="D108" i="1"/>
  <c r="D96" i="1"/>
  <c r="D71" i="1"/>
  <c r="D55" i="1"/>
  <c r="D12" i="1"/>
  <c r="H55" i="1"/>
  <c r="H71" i="1"/>
  <c r="H96" i="1"/>
  <c r="H108" i="1"/>
  <c r="H119" i="1"/>
  <c r="H120" i="1"/>
  <c r="J120" i="1"/>
  <c r="J119" i="1"/>
  <c r="J108" i="1"/>
  <c r="J96" i="1"/>
  <c r="J71" i="1"/>
  <c r="J55" i="1"/>
  <c r="J14" i="1"/>
  <c r="J12" i="1"/>
  <c r="J9" i="1"/>
  <c r="J8" i="1"/>
  <c r="J16" i="1" s="1"/>
  <c r="F153" i="1"/>
  <c r="F157" i="1" s="1"/>
  <c r="G157" i="1"/>
  <c r="I149" i="1"/>
  <c r="I150" i="1"/>
  <c r="I151" i="1"/>
  <c r="I152" i="1"/>
  <c r="I148" i="1"/>
  <c r="P108" i="1"/>
  <c r="P130" i="1"/>
  <c r="P120" i="1"/>
  <c r="P119" i="1"/>
  <c r="J122" i="1" l="1"/>
  <c r="D122" i="1"/>
  <c r="J23" i="1"/>
  <c r="J110" i="1" s="1"/>
  <c r="J116" i="1" s="1"/>
  <c r="H122" i="1"/>
  <c r="D23" i="1"/>
  <c r="D110" i="1" s="1"/>
  <c r="D116" i="1" s="1"/>
  <c r="I153" i="1"/>
  <c r="J157" i="1"/>
  <c r="K157" i="1"/>
  <c r="I157" i="1"/>
  <c r="P122" i="1"/>
  <c r="P131" i="1"/>
  <c r="P23" i="1"/>
  <c r="I159" i="1" l="1"/>
  <c r="J101" i="1"/>
  <c r="D101" i="1"/>
  <c r="P110" i="1"/>
  <c r="P116" i="1" s="1"/>
  <c r="P101" i="1"/>
  <c r="L58" i="1" l="1"/>
  <c r="L59" i="1"/>
  <c r="L60" i="1"/>
  <c r="L61" i="1"/>
  <c r="L62" i="1"/>
  <c r="L63" i="1"/>
  <c r="L64" i="1"/>
  <c r="L66" i="1"/>
  <c r="L67" i="1"/>
  <c r="L68" i="1"/>
  <c r="L69" i="1"/>
  <c r="L70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5" i="1"/>
  <c r="L97" i="1"/>
  <c r="L98" i="1"/>
  <c r="L99" i="1"/>
  <c r="L100" i="1"/>
  <c r="L102" i="1"/>
  <c r="L103" i="1"/>
  <c r="L104" i="1"/>
  <c r="L107" i="1"/>
  <c r="L111" i="1"/>
  <c r="L112" i="1"/>
  <c r="L113" i="1"/>
  <c r="L114" i="1"/>
  <c r="L115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52" i="1"/>
  <c r="L53" i="1"/>
  <c r="L54" i="1"/>
  <c r="L9" i="1"/>
  <c r="L10" i="1"/>
  <c r="L13" i="1"/>
  <c r="L14" i="1"/>
  <c r="L15" i="1"/>
  <c r="L16" i="1"/>
  <c r="L17" i="1"/>
  <c r="L18" i="1"/>
  <c r="L19" i="1"/>
  <c r="L21" i="1"/>
  <c r="L22" i="1"/>
  <c r="L8" i="1"/>
  <c r="M106" i="1" l="1"/>
  <c r="M108" i="1" s="1"/>
  <c r="M65" i="1"/>
  <c r="M27" i="1"/>
  <c r="L27" i="1" s="1"/>
  <c r="M26" i="1"/>
  <c r="L26" i="1" s="1"/>
  <c r="M25" i="1"/>
  <c r="L25" i="1" s="1"/>
  <c r="M20" i="1"/>
  <c r="M12" i="1"/>
  <c r="L12" i="1" s="1"/>
  <c r="M120" i="1"/>
  <c r="M119" i="1"/>
  <c r="M96" i="1"/>
  <c r="M122" i="1" l="1"/>
  <c r="M23" i="1"/>
  <c r="L20" i="1"/>
  <c r="M71" i="1"/>
  <c r="L65" i="1"/>
  <c r="M55" i="1"/>
  <c r="E71" i="1"/>
  <c r="F71" i="1"/>
  <c r="G71" i="1"/>
  <c r="I71" i="1"/>
  <c r="K71" i="1"/>
  <c r="G54" i="1"/>
  <c r="L71" i="1" l="1"/>
  <c r="M101" i="1"/>
  <c r="M110" i="1"/>
  <c r="M116" i="1" s="1"/>
  <c r="J153" i="1"/>
  <c r="J159" i="1" s="1"/>
  <c r="K149" i="1"/>
  <c r="K151" i="1"/>
  <c r="K148" i="1"/>
  <c r="J149" i="1"/>
  <c r="J151" i="1"/>
  <c r="J148" i="1"/>
  <c r="E120" i="1"/>
  <c r="E119" i="1"/>
  <c r="E96" i="1"/>
  <c r="E55" i="1"/>
  <c r="E14" i="1"/>
  <c r="E12" i="1"/>
  <c r="K23" i="1"/>
  <c r="L23" i="1" s="1"/>
  <c r="K153" i="1" l="1"/>
  <c r="K159" i="1" s="1"/>
  <c r="E108" i="1"/>
  <c r="E122" i="1"/>
  <c r="M39" i="2"/>
  <c r="F39" i="2"/>
  <c r="M35" i="2"/>
  <c r="F35" i="2"/>
  <c r="H22" i="2"/>
  <c r="G22" i="2"/>
  <c r="F22" i="2"/>
  <c r="H20" i="2"/>
  <c r="G20" i="2"/>
  <c r="I120" i="1"/>
  <c r="B120" i="1"/>
  <c r="I119" i="1"/>
  <c r="G119" i="1"/>
  <c r="F119" i="1"/>
  <c r="B119" i="1"/>
  <c r="BG108" i="1"/>
  <c r="BF108" i="1"/>
  <c r="BE108" i="1"/>
  <c r="BD108" i="1"/>
  <c r="BB108" i="1"/>
  <c r="BA108" i="1"/>
  <c r="AX108" i="1"/>
  <c r="AW108" i="1"/>
  <c r="AO108" i="1"/>
  <c r="AJ108" i="1"/>
  <c r="AI108" i="1"/>
  <c r="AM107" i="1"/>
  <c r="AL107" i="1"/>
  <c r="BN106" i="1"/>
  <c r="BC106" i="1"/>
  <c r="AV106" i="1"/>
  <c r="AV108" i="1" s="1"/>
  <c r="AM106" i="1"/>
  <c r="AR106" i="1"/>
  <c r="L106" i="1"/>
  <c r="BN105" i="1"/>
  <c r="AZ105" i="1"/>
  <c r="BC105" i="1" s="1"/>
  <c r="AM105" i="1"/>
  <c r="AL105" i="1"/>
  <c r="AZ104" i="1"/>
  <c r="BC104" i="1" s="1"/>
  <c r="AM104" i="1"/>
  <c r="AL104" i="1"/>
  <c r="AZ103" i="1"/>
  <c r="BC103" i="1" s="1"/>
  <c r="AM103" i="1"/>
  <c r="AL103" i="1"/>
  <c r="AZ102" i="1"/>
  <c r="BC102" i="1" s="1"/>
  <c r="AM102" i="1"/>
  <c r="AL102" i="1"/>
  <c r="AZ101" i="1"/>
  <c r="BC101" i="1" s="1"/>
  <c r="AM101" i="1"/>
  <c r="AL101" i="1"/>
  <c r="AZ100" i="1"/>
  <c r="BC100" i="1" s="1"/>
  <c r="AM100" i="1"/>
  <c r="AL100" i="1"/>
  <c r="AZ99" i="1"/>
  <c r="BC99" i="1" s="1"/>
  <c r="AM99" i="1"/>
  <c r="AL99" i="1"/>
  <c r="AZ98" i="1"/>
  <c r="BC98" i="1" s="1"/>
  <c r="AM98" i="1"/>
  <c r="AL98" i="1"/>
  <c r="AZ97" i="1"/>
  <c r="BC97" i="1" s="1"/>
  <c r="AM97" i="1"/>
  <c r="AL97" i="1"/>
  <c r="BG96" i="1"/>
  <c r="BE96" i="1"/>
  <c r="BB96" i="1"/>
  <c r="BA96" i="1"/>
  <c r="AY96" i="1"/>
  <c r="AQ96" i="1"/>
  <c r="AO96" i="1"/>
  <c r="AJ96" i="1"/>
  <c r="AI96" i="1"/>
  <c r="K96" i="1"/>
  <c r="L96" i="1" s="1"/>
  <c r="I96" i="1"/>
  <c r="G96" i="1"/>
  <c r="F96" i="1"/>
  <c r="BN95" i="1"/>
  <c r="BF95" i="1"/>
  <c r="AZ95" i="1"/>
  <c r="BC95" i="1" s="1"/>
  <c r="AR95" i="1"/>
  <c r="AM95" i="1"/>
  <c r="AL95" i="1"/>
  <c r="BN90" i="1"/>
  <c r="BC90" i="1"/>
  <c r="AM90" i="1"/>
  <c r="AL90" i="1"/>
  <c r="BN89" i="1"/>
  <c r="AZ89" i="1"/>
  <c r="BC89" i="1" s="1"/>
  <c r="AM89" i="1"/>
  <c r="AR89" i="1"/>
  <c r="BN88" i="1"/>
  <c r="AZ88" i="1"/>
  <c r="BC88" i="1" s="1"/>
  <c r="AM88" i="1"/>
  <c r="AL88" i="1"/>
  <c r="BN86" i="1"/>
  <c r="BF86" i="1"/>
  <c r="BD86" i="1"/>
  <c r="AX86" i="1"/>
  <c r="AX96" i="1" s="1"/>
  <c r="AW86" i="1"/>
  <c r="AW96" i="1" s="1"/>
  <c r="AV86" i="1"/>
  <c r="AV96" i="1" s="1"/>
  <c r="AM86" i="1"/>
  <c r="AL86" i="1"/>
  <c r="AR86" i="1"/>
  <c r="BN85" i="1"/>
  <c r="BC85" i="1"/>
  <c r="AR85" i="1"/>
  <c r="AM85" i="1"/>
  <c r="AL85" i="1"/>
  <c r="BN84" i="1"/>
  <c r="AZ84" i="1"/>
  <c r="BC84" i="1" s="1"/>
  <c r="AM84" i="1"/>
  <c r="AR84" i="1"/>
  <c r="BN83" i="1"/>
  <c r="AZ83" i="1"/>
  <c r="BC83" i="1" s="1"/>
  <c r="AM83" i="1"/>
  <c r="AL83" i="1"/>
  <c r="BN82" i="1"/>
  <c r="BC82" i="1"/>
  <c r="AM82" i="1"/>
  <c r="AR82" i="1"/>
  <c r="BN81" i="1"/>
  <c r="BC81" i="1"/>
  <c r="AM81" i="1"/>
  <c r="AR81" i="1"/>
  <c r="AM80" i="1"/>
  <c r="AL80" i="1"/>
  <c r="BN79" i="1"/>
  <c r="BC79" i="1"/>
  <c r="AM79" i="1"/>
  <c r="AR79" i="1"/>
  <c r="BN78" i="1"/>
  <c r="BD78" i="1"/>
  <c r="AZ78" i="1"/>
  <c r="BC78" i="1" s="1"/>
  <c r="AM78" i="1"/>
  <c r="AR78" i="1"/>
  <c r="BN77" i="1"/>
  <c r="BF77" i="1"/>
  <c r="BC77" i="1"/>
  <c r="AM77" i="1"/>
  <c r="AR77" i="1"/>
  <c r="BN76" i="1"/>
  <c r="BC76" i="1"/>
  <c r="AM76" i="1"/>
  <c r="AR76" i="1"/>
  <c r="AM75" i="1"/>
  <c r="AL75" i="1"/>
  <c r="BN74" i="1"/>
  <c r="AZ74" i="1"/>
  <c r="BC74" i="1" s="1"/>
  <c r="AM74" i="1"/>
  <c r="AR74" i="1"/>
  <c r="AM73" i="1"/>
  <c r="AL73" i="1"/>
  <c r="AM72" i="1"/>
  <c r="AL72" i="1"/>
  <c r="BD71" i="1"/>
  <c r="BB71" i="1"/>
  <c r="BA71" i="1"/>
  <c r="AY71" i="1"/>
  <c r="AX71" i="1"/>
  <c r="AW71" i="1"/>
  <c r="AV71" i="1"/>
  <c r="AQ71" i="1"/>
  <c r="AI71" i="1"/>
  <c r="AZ69" i="1"/>
  <c r="BC69" i="1" s="1"/>
  <c r="AM69" i="1"/>
  <c r="AL69" i="1"/>
  <c r="BN68" i="1"/>
  <c r="BG68" i="1"/>
  <c r="BG71" i="1" s="1"/>
  <c r="BF68" i="1"/>
  <c r="BF71" i="1" s="1"/>
  <c r="BE68" i="1"/>
  <c r="BE71" i="1" s="1"/>
  <c r="AZ68" i="1"/>
  <c r="BC68" i="1" s="1"/>
  <c r="AM68" i="1"/>
  <c r="AR68" i="1"/>
  <c r="K120" i="1"/>
  <c r="BN67" i="1"/>
  <c r="AZ67" i="1"/>
  <c r="BC67" i="1" s="1"/>
  <c r="AR67" i="1"/>
  <c r="AM67" i="1"/>
  <c r="AL67" i="1"/>
  <c r="BN66" i="1"/>
  <c r="AZ66" i="1"/>
  <c r="BC66" i="1" s="1"/>
  <c r="AM66" i="1"/>
  <c r="AR66" i="1"/>
  <c r="AJ66" i="1" s="1"/>
  <c r="BN65" i="1"/>
  <c r="BC65" i="1"/>
  <c r="AO65" i="1"/>
  <c r="AO71" i="1" s="1"/>
  <c r="AR65" i="1"/>
  <c r="BN63" i="1"/>
  <c r="AZ63" i="1"/>
  <c r="BC63" i="1" s="1"/>
  <c r="AM63" i="1"/>
  <c r="AL63" i="1"/>
  <c r="BN62" i="1"/>
  <c r="BC62" i="1"/>
  <c r="AM62" i="1"/>
  <c r="AL62" i="1"/>
  <c r="BN61" i="1"/>
  <c r="AZ61" i="1"/>
  <c r="BC61" i="1" s="1"/>
  <c r="AM61" i="1"/>
  <c r="AR61" i="1"/>
  <c r="AJ61" i="1" s="1"/>
  <c r="BN60" i="1"/>
  <c r="AZ60" i="1"/>
  <c r="AM60" i="1"/>
  <c r="AR60" i="1"/>
  <c r="BN59" i="1"/>
  <c r="BC59" i="1"/>
  <c r="AM59" i="1"/>
  <c r="AL59" i="1"/>
  <c r="BN58" i="1"/>
  <c r="AZ58" i="1"/>
  <c r="BC58" i="1" s="1"/>
  <c r="AM58" i="1"/>
  <c r="AR58" i="1"/>
  <c r="AM57" i="1"/>
  <c r="AL57" i="1"/>
  <c r="BG55" i="1"/>
  <c r="BE55" i="1"/>
  <c r="AQ55" i="1"/>
  <c r="AI55" i="1"/>
  <c r="I55" i="1"/>
  <c r="G55" i="1"/>
  <c r="F55" i="1"/>
  <c r="BN54" i="1"/>
  <c r="BF54" i="1"/>
  <c r="BF55" i="1" s="1"/>
  <c r="BB54" i="1"/>
  <c r="BA54" i="1"/>
  <c r="AX54" i="1"/>
  <c r="AW54" i="1"/>
  <c r="AZ54" i="1" s="1"/>
  <c r="AV54" i="1"/>
  <c r="AR54" i="1"/>
  <c r="AM54" i="1"/>
  <c r="AL54" i="1"/>
  <c r="L55" i="1"/>
  <c r="AM46" i="1"/>
  <c r="AL46" i="1"/>
  <c r="AJ46" i="1"/>
  <c r="AR45" i="1"/>
  <c r="AM45" i="1"/>
  <c r="AL45" i="1"/>
  <c r="BN44" i="1"/>
  <c r="AM44" i="1"/>
  <c r="AL44" i="1"/>
  <c r="BN43" i="1"/>
  <c r="AM43" i="1"/>
  <c r="AL43" i="1"/>
  <c r="BN42" i="1"/>
  <c r="AR42" i="1"/>
  <c r="AM42" i="1"/>
  <c r="AL42" i="1"/>
  <c r="BN41" i="1"/>
  <c r="AM41" i="1"/>
  <c r="AL41" i="1"/>
  <c r="AM40" i="1"/>
  <c r="AR40" i="1"/>
  <c r="AM39" i="1"/>
  <c r="AL39" i="1"/>
  <c r="AM38" i="1"/>
  <c r="AL38" i="1"/>
  <c r="BN37" i="1"/>
  <c r="AM37" i="1"/>
  <c r="AL37" i="1"/>
  <c r="AM36" i="1"/>
  <c r="AR36" i="1"/>
  <c r="AM35" i="1"/>
  <c r="AL35" i="1"/>
  <c r="BN34" i="1"/>
  <c r="AZ34" i="1"/>
  <c r="BC34" i="1" s="1"/>
  <c r="AM34" i="1"/>
  <c r="AR34" i="1"/>
  <c r="AJ34" i="1" s="1"/>
  <c r="BC33" i="1"/>
  <c r="AM33" i="1"/>
  <c r="AR33" i="1"/>
  <c r="BN32" i="1"/>
  <c r="AZ32" i="1"/>
  <c r="BC32" i="1" s="1"/>
  <c r="AM32" i="1"/>
  <c r="AR32" i="1"/>
  <c r="AJ32" i="1" s="1"/>
  <c r="BC31" i="1"/>
  <c r="AM31" i="1"/>
  <c r="AR31" i="1"/>
  <c r="AZ30" i="1"/>
  <c r="BC30" i="1" s="1"/>
  <c r="AM30" i="1"/>
  <c r="AR30" i="1"/>
  <c r="AZ29" i="1"/>
  <c r="BC29" i="1" s="1"/>
  <c r="AM29" i="1"/>
  <c r="AL29" i="1"/>
  <c r="BD28" i="1"/>
  <c r="BB28" i="1"/>
  <c r="BA28" i="1"/>
  <c r="AZ28" i="1"/>
  <c r="AX28" i="1"/>
  <c r="AW28" i="1"/>
  <c r="AV28" i="1"/>
  <c r="AO28" i="1"/>
  <c r="BC27" i="1"/>
  <c r="AO27" i="1"/>
  <c r="AR27" i="1"/>
  <c r="BD25" i="1"/>
  <c r="BB25" i="1"/>
  <c r="BA25" i="1"/>
  <c r="AZ25" i="1"/>
  <c r="AY25" i="1"/>
  <c r="AY55" i="1" s="1"/>
  <c r="AX25" i="1"/>
  <c r="AW25" i="1"/>
  <c r="AV25" i="1"/>
  <c r="BC25" i="1" s="1"/>
  <c r="AR25" i="1"/>
  <c r="AO25" i="1"/>
  <c r="AL25" i="1"/>
  <c r="AZ24" i="1"/>
  <c r="AM24" i="1"/>
  <c r="BG23" i="1"/>
  <c r="BF23" i="1"/>
  <c r="AJ23" i="1"/>
  <c r="BD20" i="1"/>
  <c r="BB20" i="1"/>
  <c r="BA20" i="1"/>
  <c r="AZ20" i="1"/>
  <c r="AX20" i="1"/>
  <c r="AW20" i="1"/>
  <c r="AV20" i="1"/>
  <c r="BC20" i="1" s="1"/>
  <c r="AR20" i="1"/>
  <c r="AO20" i="1"/>
  <c r="AL20" i="1"/>
  <c r="AM18" i="1"/>
  <c r="AL18" i="1"/>
  <c r="AM17" i="1"/>
  <c r="AL17" i="1"/>
  <c r="BN15" i="1"/>
  <c r="BB15" i="1"/>
  <c r="BA15" i="1"/>
  <c r="AX15" i="1"/>
  <c r="AW15" i="1"/>
  <c r="AV15" i="1"/>
  <c r="BC15" i="1" s="1"/>
  <c r="AO15" i="1"/>
  <c r="AR15" i="1"/>
  <c r="I14" i="1"/>
  <c r="H14" i="1"/>
  <c r="BN13" i="1"/>
  <c r="BD13" i="1"/>
  <c r="BC13" i="1"/>
  <c r="AZ13" i="1"/>
  <c r="AR13" i="1"/>
  <c r="AM13" i="1"/>
  <c r="AL13" i="1"/>
  <c r="BN12" i="1"/>
  <c r="BE12" i="1"/>
  <c r="BE23" i="1" s="1"/>
  <c r="AQ12" i="1"/>
  <c r="AM12" i="1"/>
  <c r="AI12" i="1"/>
  <c r="BC12" i="1" s="1"/>
  <c r="AL12" i="1"/>
  <c r="K131" i="1"/>
  <c r="I12" i="1"/>
  <c r="H12" i="1"/>
  <c r="BN10" i="1"/>
  <c r="BC10" i="1"/>
  <c r="AZ10" i="1"/>
  <c r="AM10" i="1"/>
  <c r="BN8" i="1"/>
  <c r="BD8" i="1"/>
  <c r="BC8" i="1"/>
  <c r="AZ8" i="1"/>
  <c r="AQ8" i="1"/>
  <c r="AM8" i="1"/>
  <c r="I8" i="1"/>
  <c r="I122" i="1" l="1"/>
  <c r="AW23" i="1"/>
  <c r="AX55" i="1"/>
  <c r="BB23" i="1"/>
  <c r="AZ55" i="1"/>
  <c r="BD55" i="1"/>
  <c r="AL66" i="1"/>
  <c r="AL76" i="1"/>
  <c r="AL77" i="1"/>
  <c r="AO23" i="1"/>
  <c r="AV55" i="1"/>
  <c r="AL61" i="1"/>
  <c r="AM71" i="1"/>
  <c r="AL84" i="1"/>
  <c r="AV23" i="1"/>
  <c r="BB55" i="1"/>
  <c r="BB110" i="1" s="1"/>
  <c r="AL60" i="1"/>
  <c r="AL81" i="1"/>
  <c r="AL82" i="1"/>
  <c r="BN108" i="1"/>
  <c r="AL32" i="1"/>
  <c r="AL30" i="1"/>
  <c r="AL33" i="1"/>
  <c r="I9" i="1"/>
  <c r="AX23" i="1"/>
  <c r="BE110" i="1"/>
  <c r="AW55" i="1"/>
  <c r="AR63" i="1"/>
  <c r="AQ23" i="1"/>
  <c r="BG110" i="1"/>
  <c r="AM108" i="1"/>
  <c r="AL34" i="1"/>
  <c r="L108" i="1"/>
  <c r="AO55" i="1"/>
  <c r="BN96" i="1"/>
  <c r="AZ71" i="1"/>
  <c r="BN71" i="1"/>
  <c r="AL79" i="1"/>
  <c r="AZ23" i="1"/>
  <c r="AL28" i="1"/>
  <c r="BC28" i="1"/>
  <c r="AR29" i="1"/>
  <c r="AR44" i="1"/>
  <c r="AR62" i="1"/>
  <c r="AL68" i="1"/>
  <c r="BF96" i="1"/>
  <c r="BF110" i="1" s="1"/>
  <c r="AR108" i="1"/>
  <c r="F122" i="1"/>
  <c r="AM27" i="1"/>
  <c r="BN23" i="1"/>
  <c r="AM15" i="1"/>
  <c r="BA23" i="1"/>
  <c r="AY110" i="1"/>
  <c r="AL36" i="1"/>
  <c r="BN55" i="1"/>
  <c r="AL40" i="1"/>
  <c r="BC54" i="1"/>
  <c r="AL89" i="1"/>
  <c r="AM96" i="1"/>
  <c r="I108" i="1"/>
  <c r="AL106" i="1"/>
  <c r="G108" i="1"/>
  <c r="AR12" i="1"/>
  <c r="AM20" i="1"/>
  <c r="AI23" i="1"/>
  <c r="AI110" i="1" s="1"/>
  <c r="AL58" i="1"/>
  <c r="BD96" i="1"/>
  <c r="AR90" i="1"/>
  <c r="BD23" i="1"/>
  <c r="BH15" i="1"/>
  <c r="BA55" i="1"/>
  <c r="AL27" i="1"/>
  <c r="AJ71" i="1"/>
  <c r="G122" i="1"/>
  <c r="BC23" i="1"/>
  <c r="AR10" i="1"/>
  <c r="AL10" i="1"/>
  <c r="H23" i="1"/>
  <c r="AM65" i="1"/>
  <c r="AL71" i="1"/>
  <c r="AZ108" i="1"/>
  <c r="BC108" i="1" s="1"/>
  <c r="K130" i="1"/>
  <c r="AL15" i="1"/>
  <c r="AM25" i="1"/>
  <c r="AM28" i="1"/>
  <c r="AR28" i="1"/>
  <c r="AR41" i="1"/>
  <c r="AJ41" i="1" s="1"/>
  <c r="K122" i="1"/>
  <c r="AL55" i="1"/>
  <c r="BC60" i="1"/>
  <c r="BC71" i="1" s="1"/>
  <c r="AL78" i="1"/>
  <c r="AR83" i="1"/>
  <c r="AR88" i="1"/>
  <c r="F108" i="1"/>
  <c r="AR43" i="1"/>
  <c r="AJ43" i="1" s="1"/>
  <c r="AR59" i="1"/>
  <c r="AL96" i="1"/>
  <c r="AZ86" i="1"/>
  <c r="AL31" i="1"/>
  <c r="AR37" i="1"/>
  <c r="AJ37" i="1" s="1"/>
  <c r="AL65" i="1"/>
  <c r="AL74" i="1"/>
  <c r="AV110" i="1" l="1"/>
  <c r="H101" i="1"/>
  <c r="H110" i="1"/>
  <c r="H116" i="1" s="1"/>
  <c r="H131" i="1"/>
  <c r="H130" i="1"/>
  <c r="AX110" i="1"/>
  <c r="AW110" i="1"/>
  <c r="I23" i="1"/>
  <c r="I110" i="1" s="1"/>
  <c r="I116" i="1" s="1"/>
  <c r="I131" i="1"/>
  <c r="I130" i="1"/>
  <c r="BA110" i="1"/>
  <c r="AR96" i="1"/>
  <c r="AM23" i="1"/>
  <c r="BC55" i="1"/>
  <c r="AO110" i="1"/>
  <c r="AM110" i="1" s="1"/>
  <c r="AL108" i="1"/>
  <c r="BH20" i="1"/>
  <c r="BD110" i="1"/>
  <c r="AJ55" i="1"/>
  <c r="AJ110" i="1" s="1"/>
  <c r="AR71" i="1"/>
  <c r="AM55" i="1"/>
  <c r="BN110" i="1"/>
  <c r="AR55" i="1"/>
  <c r="AR8" i="1"/>
  <c r="AR23" i="1" s="1"/>
  <c r="AL8" i="1"/>
  <c r="BC86" i="1"/>
  <c r="BC96" i="1" s="1"/>
  <c r="AZ96" i="1"/>
  <c r="AZ110" i="1" s="1"/>
  <c r="K101" i="1"/>
  <c r="L101" i="1" s="1"/>
  <c r="K110" i="1"/>
  <c r="L110" i="1" s="1"/>
  <c r="G23" i="1"/>
  <c r="BC110" i="1" l="1"/>
  <c r="I101" i="1"/>
  <c r="G101" i="1"/>
  <c r="G131" i="1"/>
  <c r="F23" i="1"/>
  <c r="E23" i="1"/>
  <c r="AR110" i="1"/>
  <c r="AL110" i="1"/>
  <c r="AL23" i="1"/>
  <c r="K116" i="1"/>
  <c r="L116" i="1" s="1"/>
  <c r="G110" i="1" l="1"/>
  <c r="G116" i="1" s="1"/>
  <c r="F101" i="1"/>
  <c r="F131" i="1"/>
  <c r="E110" i="1"/>
  <c r="E116" i="1" s="1"/>
  <c r="E131" i="1"/>
  <c r="E130" i="1"/>
  <c r="F110" i="1"/>
  <c r="F116" i="1" s="1"/>
  <c r="E101" i="1" l="1"/>
</calcChain>
</file>

<file path=xl/sharedStrings.xml><?xml version="1.0" encoding="utf-8"?>
<sst xmlns="http://schemas.openxmlformats.org/spreadsheetml/2006/main" count="307" uniqueCount="167">
  <si>
    <t>STRØBY LADEPLADS VANDVÆRK AMBA</t>
  </si>
  <si>
    <t>Forslag</t>
  </si>
  <si>
    <t>Urevideret</t>
  </si>
  <si>
    <t>Budget</t>
  </si>
  <si>
    <t xml:space="preserve">Budget </t>
  </si>
  <si>
    <t xml:space="preserve">Regnskab </t>
  </si>
  <si>
    <t>regulering af forventning</t>
  </si>
  <si>
    <t>Forskel budget</t>
  </si>
  <si>
    <t>bevægelser</t>
  </si>
  <si>
    <t>Mer omk</t>
  </si>
  <si>
    <t xml:space="preserve">Forskel budget </t>
  </si>
  <si>
    <t xml:space="preserve">Estimat for </t>
  </si>
  <si>
    <t>Forskel til</t>
  </si>
  <si>
    <t>Priser</t>
  </si>
  <si>
    <t>Regnskab</t>
  </si>
  <si>
    <t>2020-2019</t>
  </si>
  <si>
    <t>yderligere omk</t>
  </si>
  <si>
    <t>Regn 2019-bu 2019</t>
  </si>
  <si>
    <t>Antal m3</t>
  </si>
  <si>
    <t>Indtægter</t>
  </si>
  <si>
    <t>Vandafgifter fast</t>
  </si>
  <si>
    <t>34000*9,5</t>
  </si>
  <si>
    <t>Forhøjelse fast afgift</t>
  </si>
  <si>
    <t>målerleje</t>
  </si>
  <si>
    <t>Forbrug efter målere</t>
  </si>
  <si>
    <t>1016/1210</t>
  </si>
  <si>
    <t>Andre driftsindtægter</t>
  </si>
  <si>
    <t>Hovedanlægsbidrag</t>
  </si>
  <si>
    <t>Forsyningsledningsbidrag</t>
  </si>
  <si>
    <t>Stikledning bidrag</t>
  </si>
  <si>
    <t>1230/40</t>
  </si>
  <si>
    <t>gebyrer/bøder</t>
  </si>
  <si>
    <t>I alt</t>
  </si>
  <si>
    <t>Produktionsomkostninger</t>
  </si>
  <si>
    <t>2010/1/23/4</t>
  </si>
  <si>
    <t>Reparation/vedligehold</t>
  </si>
  <si>
    <t xml:space="preserve">Fast afgift forhøjet kr </t>
  </si>
  <si>
    <t>Drift omk på filter ved boring</t>
  </si>
  <si>
    <t>Drivkraft</t>
  </si>
  <si>
    <t>Vand forhøjet kr 0,50</t>
  </si>
  <si>
    <t>2025/30</t>
  </si>
  <si>
    <t>Vandanalyser/Boringskontrol</t>
  </si>
  <si>
    <t>Samlet forhøjelse i 2020</t>
  </si>
  <si>
    <t>Nødstrøm afdrag</t>
  </si>
  <si>
    <t>Kr 700-600</t>
  </si>
  <si>
    <t>kr 100</t>
  </si>
  <si>
    <t>Vejbidrag Grf</t>
  </si>
  <si>
    <t xml:space="preserve">Vandforbrug </t>
  </si>
  <si>
    <t>Boringsleje</t>
  </si>
  <si>
    <t>kr 8,25-kr 7</t>
  </si>
  <si>
    <t>kr 1,25</t>
  </si>
  <si>
    <t>Omkostninger ved nyetablering</t>
  </si>
  <si>
    <t>Vedl.hold og brændstof</t>
  </si>
  <si>
    <t>Køb af Vand</t>
  </si>
  <si>
    <t>Løn vandværkspasser</t>
  </si>
  <si>
    <t>Små anskaffelser</t>
  </si>
  <si>
    <t>Teknisk bistand</t>
  </si>
  <si>
    <t>Småanskaffelser</t>
  </si>
  <si>
    <t>Forsikringer</t>
  </si>
  <si>
    <t xml:space="preserve">Vandspild </t>
  </si>
  <si>
    <t>Lovpligtigt målerkontrol</t>
  </si>
  <si>
    <t>Diverse</t>
  </si>
  <si>
    <t>Pejlinger</t>
  </si>
  <si>
    <t>Erstatninger boringer</t>
  </si>
  <si>
    <t>Kulfilter med vej  afskrivninger</t>
  </si>
  <si>
    <t>afskrivninger</t>
  </si>
  <si>
    <t>Distributionsomkostninger</t>
  </si>
  <si>
    <t>Vedligehold af målere</t>
  </si>
  <si>
    <t>GPS ledningsmåling</t>
  </si>
  <si>
    <t>Pejling</t>
  </si>
  <si>
    <t>2027</t>
  </si>
  <si>
    <t>2026</t>
  </si>
  <si>
    <t>2025</t>
  </si>
  <si>
    <t>2024</t>
  </si>
  <si>
    <t>Rådgivning og teknisk bistand</t>
  </si>
  <si>
    <t>Afskrivninger</t>
  </si>
  <si>
    <t>Distibutionsomk i alt</t>
  </si>
  <si>
    <t>Administrationsomkost.</t>
  </si>
  <si>
    <t>Honorar formand</t>
  </si>
  <si>
    <t>km godtgørelse</t>
  </si>
  <si>
    <t>Kurser</t>
  </si>
  <si>
    <t>Alle møder</t>
  </si>
  <si>
    <t>Generalforsamling</t>
  </si>
  <si>
    <t>Vandværksadministration</t>
  </si>
  <si>
    <t>Annoncer</t>
  </si>
  <si>
    <t>Porto/Gebyr</t>
  </si>
  <si>
    <t>Kontorhold</t>
  </si>
  <si>
    <t>Pbs/Rambøll</t>
  </si>
  <si>
    <t>Licenser</t>
  </si>
  <si>
    <t>Kontigenter/faglitteratur</t>
  </si>
  <si>
    <t>Revisor</t>
  </si>
  <si>
    <t>juridisk rådgivning</t>
  </si>
  <si>
    <t>Tryksager</t>
  </si>
  <si>
    <t>Forsikring bestyrelse</t>
  </si>
  <si>
    <t>Telefon/Internet</t>
  </si>
  <si>
    <t>Admin. Omk. I alt</t>
  </si>
  <si>
    <t>Andre driftsindtægter /-omk</t>
  </si>
  <si>
    <t>Ex ord boringer</t>
  </si>
  <si>
    <t>Andre driftsindtægter /-omk, i alt</t>
  </si>
  <si>
    <t>Renter ind</t>
  </si>
  <si>
    <t>Renteomk</t>
  </si>
  <si>
    <t>Prov garanti</t>
  </si>
  <si>
    <t>Finansiomkostninger i alt</t>
  </si>
  <si>
    <t xml:space="preserve">Overskud /underskud  </t>
  </si>
  <si>
    <t>Erstatning boring 3</t>
  </si>
  <si>
    <t>Erstatning boring 1</t>
  </si>
  <si>
    <t xml:space="preserve">Boring 1Ekstra ord. afskrivning </t>
  </si>
  <si>
    <t>Afskrivninger i alt</t>
  </si>
  <si>
    <t>Takster</t>
  </si>
  <si>
    <t>Fastafgift</t>
  </si>
  <si>
    <t>Variabel</t>
  </si>
  <si>
    <t>Forhøjelse fast afgidt</t>
  </si>
  <si>
    <t>Forhøjelse m3</t>
  </si>
  <si>
    <t>Fordeling</t>
  </si>
  <si>
    <t>Fast afgift</t>
  </si>
  <si>
    <t>Varialbel</t>
  </si>
  <si>
    <t>Budget kulfilter</t>
  </si>
  <si>
    <t>Anskaffelsessum</t>
  </si>
  <si>
    <t>Danwarec,</t>
  </si>
  <si>
    <t>El</t>
  </si>
  <si>
    <t>Vej</t>
  </si>
  <si>
    <t>Drifts omk</t>
  </si>
  <si>
    <t>1 filterskift</t>
  </si>
  <si>
    <t>ved 1 filter</t>
  </si>
  <si>
    <t>ved 2 filter</t>
  </si>
  <si>
    <t>ved 3 filter</t>
  </si>
  <si>
    <t>Leje af filter</t>
  </si>
  <si>
    <t>12 mdr</t>
  </si>
  <si>
    <t>Hvad betyder fragt og håndtering</t>
  </si>
  <si>
    <t>3 filter</t>
  </si>
  <si>
    <t>Filterskift</t>
  </si>
  <si>
    <t>første ggang</t>
  </si>
  <si>
    <t>2' filterskift</t>
  </si>
  <si>
    <t>(Er det pr gang eller pr filter!!!!!!!!!!!!!!!!)</t>
  </si>
  <si>
    <t xml:space="preserve">Leje af 3 filtre </t>
  </si>
  <si>
    <t xml:space="preserve">3 mdr </t>
  </si>
  <si>
    <t>Herefter pr år</t>
  </si>
  <si>
    <t>Posten Pejlinger</t>
  </si>
  <si>
    <t>Vi hæver den til kr 25.000 hvor de kr 15.000 er løn til Henning</t>
  </si>
  <si>
    <t>Bortfald styretavle</t>
  </si>
  <si>
    <t>Bortfald digitale vandmåler</t>
  </si>
  <si>
    <t xml:space="preserve"> </t>
  </si>
  <si>
    <t>Ekstra ordinær indtægt BNBO</t>
  </si>
  <si>
    <t>Estimat</t>
  </si>
  <si>
    <t>2028</t>
  </si>
  <si>
    <t>Strøby Egede Vandværk</t>
  </si>
  <si>
    <t xml:space="preserve">Fast </t>
  </si>
  <si>
    <t xml:space="preserve">Pris ved forbrug på </t>
  </si>
  <si>
    <t>50m3</t>
  </si>
  <si>
    <t>80m3</t>
  </si>
  <si>
    <t>Strøby Vandværk</t>
  </si>
  <si>
    <t>St. Heddinge</t>
  </si>
  <si>
    <t>Strøby Ladeplads</t>
  </si>
  <si>
    <t>gebyrer</t>
  </si>
  <si>
    <t>Bundfældningskar afskrivninger med mere</t>
  </si>
  <si>
    <t>regnskab 30 sept 2023</t>
  </si>
  <si>
    <t>4 kvt</t>
  </si>
  <si>
    <t>30m3</t>
  </si>
  <si>
    <t>Merpris i alt 2024 - 2023</t>
  </si>
  <si>
    <t>2029</t>
  </si>
  <si>
    <t>forventet</t>
  </si>
  <si>
    <t>Lovpligtigt målerkontrol/udskiftning af målere</t>
  </si>
  <si>
    <t>forhjelse af forbrugøjelse af m3 pris</t>
  </si>
  <si>
    <t>Forhøjelse af målerleje</t>
  </si>
  <si>
    <t>Afskrivninger målere</t>
  </si>
  <si>
    <t>BNBO/Leje af kulfilter</t>
  </si>
  <si>
    <t>BNBO/drift kulfilter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</si>
</sst>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\-#,##0.00\ "/>
    <numFmt numFmtId="165" formatCode="#,##0_ ;\-#,##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11"/>
      <name val="Verdana"/>
      <family val="2"/>
    </font>
    <font>
      <sz val="9"/>
      <color rgb="FFFF0000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3" fontId="1" fillId="0" borderId="0" xfId="0" applyNumberFormat="1" applyFont="1"/>
    <xf numFmtId="165" fontId="2" fillId="0" borderId="2" xfId="0" applyNumberFormat="1" applyFont="1" applyBorder="1"/>
    <xf numFmtId="0" fontId="2" fillId="0" borderId="0" xfId="0" applyFont="1"/>
    <xf numFmtId="0" fontId="3" fillId="0" borderId="0" xfId="0" applyFont="1"/>
    <xf numFmtId="0" fontId="3" fillId="0" borderId="3" xfId="0" applyFont="1" applyBorder="1"/>
    <xf numFmtId="0" fontId="3" fillId="0" borderId="1" xfId="0" applyFont="1" applyBorder="1"/>
    <xf numFmtId="15" fontId="2" fillId="0" borderId="0" xfId="0" applyNumberFormat="1" applyFont="1"/>
    <xf numFmtId="15" fontId="3" fillId="0" borderId="0" xfId="0" applyNumberFormat="1" applyFont="1"/>
    <xf numFmtId="0" fontId="4" fillId="0" borderId="0" xfId="0" applyFont="1"/>
    <xf numFmtId="0" fontId="3" fillId="0" borderId="2" xfId="0" applyFont="1" applyBorder="1"/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14" fontId="3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center"/>
    </xf>
    <xf numFmtId="14" fontId="3" fillId="0" borderId="3" xfId="0" applyNumberFormat="1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14" fontId="3" fillId="0" borderId="1" xfId="0" applyNumberFormat="1" applyFont="1" applyBorder="1" applyAlignment="1">
      <alignment horizontal="right"/>
    </xf>
    <xf numFmtId="15" fontId="3" fillId="0" borderId="2" xfId="0" applyNumberFormat="1" applyFont="1" applyBorder="1" applyAlignment="1">
      <alignment horizontal="center"/>
    </xf>
    <xf numFmtId="15" fontId="3" fillId="0" borderId="1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right"/>
    </xf>
    <xf numFmtId="3" fontId="2" fillId="0" borderId="0" xfId="0" applyNumberFormat="1" applyFont="1"/>
    <xf numFmtId="3" fontId="2" fillId="0" borderId="2" xfId="0" applyNumberFormat="1" applyFont="1" applyBorder="1"/>
    <xf numFmtId="3" fontId="2" fillId="0" borderId="1" xfId="0" applyNumberFormat="1" applyFont="1" applyBorder="1"/>
    <xf numFmtId="165" fontId="2" fillId="0" borderId="0" xfId="0" applyNumberFormat="1" applyFont="1"/>
    <xf numFmtId="3" fontId="2" fillId="0" borderId="3" xfId="0" applyNumberFormat="1" applyFont="1" applyBorder="1"/>
    <xf numFmtId="0" fontId="2" fillId="0" borderId="2" xfId="0" applyFont="1" applyBorder="1"/>
    <xf numFmtId="0" fontId="2" fillId="0" borderId="1" xfId="0" applyFont="1" applyBorder="1"/>
    <xf numFmtId="0" fontId="2" fillId="0" borderId="3" xfId="0" applyFont="1" applyBorder="1"/>
    <xf numFmtId="0" fontId="2" fillId="0" borderId="0" xfId="0" quotePrefix="1" applyFont="1"/>
    <xf numFmtId="165" fontId="3" fillId="0" borderId="2" xfId="0" applyNumberFormat="1" applyFont="1" applyBorder="1"/>
    <xf numFmtId="3" fontId="3" fillId="0" borderId="0" xfId="0" applyNumberFormat="1" applyFont="1"/>
    <xf numFmtId="3" fontId="3" fillId="0" borderId="3" xfId="0" applyNumberFormat="1" applyFont="1" applyBorder="1"/>
    <xf numFmtId="3" fontId="3" fillId="0" borderId="1" xfId="0" applyNumberFormat="1" applyFont="1" applyBorder="1"/>
    <xf numFmtId="14" fontId="3" fillId="0" borderId="0" xfId="0" quotePrefix="1" applyNumberFormat="1" applyFont="1" applyAlignment="1">
      <alignment horizontal="center"/>
    </xf>
    <xf numFmtId="0" fontId="3" fillId="0" borderId="2" xfId="0" quotePrefix="1" applyFont="1" applyBorder="1" applyAlignment="1">
      <alignment horizontal="center"/>
    </xf>
    <xf numFmtId="0" fontId="3" fillId="0" borderId="0" xfId="0" quotePrefix="1" applyFont="1" applyAlignment="1">
      <alignment horizontal="center"/>
    </xf>
    <xf numFmtId="15" fontId="3" fillId="0" borderId="0" xfId="0" applyNumberFormat="1" applyFont="1" applyAlignment="1">
      <alignment horizontal="center"/>
    </xf>
    <xf numFmtId="15" fontId="3" fillId="0" borderId="3" xfId="0" applyNumberFormat="1" applyFont="1" applyBorder="1" applyAlignment="1">
      <alignment horizontal="center"/>
    </xf>
    <xf numFmtId="3" fontId="3" fillId="0" borderId="2" xfId="0" applyNumberFormat="1" applyFont="1" applyBorder="1"/>
    <xf numFmtId="0" fontId="3" fillId="0" borderId="0" xfId="0" quotePrefix="1" applyFont="1"/>
    <xf numFmtId="165" fontId="3" fillId="0" borderId="0" xfId="0" applyNumberFormat="1" applyFont="1"/>
    <xf numFmtId="2" fontId="2" fillId="0" borderId="2" xfId="0" applyNumberFormat="1" applyFont="1" applyBorder="1"/>
    <xf numFmtId="2" fontId="2" fillId="0" borderId="0" xfId="0" applyNumberFormat="1" applyFont="1"/>
    <xf numFmtId="164" fontId="2" fillId="0" borderId="2" xfId="0" applyNumberFormat="1" applyFont="1" applyBorder="1"/>
    <xf numFmtId="164" fontId="2" fillId="0" borderId="0" xfId="0" applyNumberFormat="1" applyFont="1"/>
    <xf numFmtId="4" fontId="2" fillId="0" borderId="0" xfId="0" applyNumberFormat="1" applyFont="1"/>
    <xf numFmtId="0" fontId="2" fillId="0" borderId="4" xfId="0" applyFont="1" applyBorder="1"/>
    <xf numFmtId="0" fontId="2" fillId="0" borderId="5" xfId="0" applyFont="1" applyBorder="1"/>
    <xf numFmtId="4" fontId="2" fillId="0" borderId="5" xfId="0" applyNumberFormat="1" applyFont="1" applyBorder="1"/>
    <xf numFmtId="1" fontId="3" fillId="0" borderId="5" xfId="0" applyNumberFormat="1" applyFont="1" applyBorder="1"/>
    <xf numFmtId="4" fontId="2" fillId="0" borderId="6" xfId="0" applyNumberFormat="1" applyFont="1" applyBorder="1"/>
    <xf numFmtId="4" fontId="3" fillId="0" borderId="0" xfId="0" applyNumberFormat="1" applyFont="1"/>
    <xf numFmtId="4" fontId="3" fillId="0" borderId="2" xfId="0" applyNumberFormat="1" applyFont="1" applyBorder="1"/>
    <xf numFmtId="1" fontId="2" fillId="0" borderId="0" xfId="0" applyNumberFormat="1" applyFont="1"/>
    <xf numFmtId="1" fontId="2" fillId="0" borderId="2" xfId="0" applyNumberFormat="1" applyFont="1" applyBorder="1"/>
    <xf numFmtId="0" fontId="2" fillId="0" borderId="8" xfId="0" applyFont="1" applyBorder="1"/>
    <xf numFmtId="1" fontId="2" fillId="0" borderId="8" xfId="0" applyNumberFormat="1" applyFont="1" applyBorder="1"/>
    <xf numFmtId="1" fontId="2" fillId="0" borderId="9" xfId="0" applyNumberFormat="1" applyFont="1" applyBorder="1"/>
    <xf numFmtId="1" fontId="3" fillId="0" borderId="0" xfId="0" applyNumberFormat="1" applyFont="1"/>
    <xf numFmtId="4" fontId="2" fillId="0" borderId="2" xfId="0" applyNumberFormat="1" applyFont="1" applyBorder="1"/>
    <xf numFmtId="0" fontId="2" fillId="0" borderId="7" xfId="0" applyFont="1" applyBorder="1"/>
    <xf numFmtId="0" fontId="2" fillId="0" borderId="9" xfId="0" applyFont="1" applyBorder="1"/>
    <xf numFmtId="165" fontId="5" fillId="0" borderId="2" xfId="0" applyNumberFormat="1" applyFont="1" applyBorder="1"/>
    <xf numFmtId="3" fontId="5" fillId="0" borderId="2" xfId="0" applyNumberFormat="1" applyFont="1" applyBorder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B4BAC-B619-4B2B-B985-8FD22C5E7A34}">
  <dimension ref="A1:CA236"/>
  <sheetViews>
    <sheetView tabSelected="1" workbookViewId="0">
      <selection activeCell="B70" sqref="B70"/>
    </sheetView>
  </sheetViews>
  <sheetFormatPr defaultColWidth="9.140625" defaultRowHeight="14.25" x14ac:dyDescent="0.2"/>
  <cols>
    <col min="1" max="1" width="2.7109375" style="4" customWidth="1"/>
    <col min="2" max="2" width="9.140625" style="4"/>
    <col min="3" max="3" width="20.140625" style="4" customWidth="1"/>
    <col min="4" max="4" width="16.85546875" style="4" hidden="1" customWidth="1"/>
    <col min="5" max="5" width="11.28515625" style="4" hidden="1" customWidth="1"/>
    <col min="6" max="6" width="13.7109375" style="4" bestFit="1" customWidth="1"/>
    <col min="7" max="7" width="12" style="4" bestFit="1" customWidth="1"/>
    <col min="8" max="8" width="14.7109375" style="4" hidden="1" customWidth="1"/>
    <col min="9" max="9" width="17.28515625" style="4" hidden="1" customWidth="1"/>
    <col min="10" max="11" width="11.28515625" style="4" hidden="1" customWidth="1"/>
    <col min="12" max="12" width="16.5703125" style="4" hidden="1" customWidth="1"/>
    <col min="13" max="13" width="12" style="4" hidden="1" customWidth="1"/>
    <col min="14" max="14" width="13.5703125" style="4" hidden="1" customWidth="1"/>
    <col min="15" max="15" width="13.28515625" style="4" hidden="1" customWidth="1"/>
    <col min="16" max="16" width="12.28515625" style="10" hidden="1" customWidth="1"/>
    <col min="17" max="17" width="13.28515625" style="4" customWidth="1"/>
    <col min="18" max="21" width="13.28515625" style="4" hidden="1" customWidth="1"/>
    <col min="22" max="22" width="10.28515625" style="4" hidden="1" customWidth="1"/>
    <col min="23" max="23" width="13.28515625" style="4" hidden="1" customWidth="1"/>
    <col min="24" max="24" width="9.140625" style="10" hidden="1" customWidth="1"/>
    <col min="25" max="25" width="14.5703125" style="4" hidden="1" customWidth="1"/>
    <col min="26" max="26" width="5.28515625" style="10" hidden="1" customWidth="1"/>
    <col min="27" max="27" width="9.5703125" style="10" hidden="1" customWidth="1"/>
    <col min="28" max="28" width="13.42578125" style="4" hidden="1" customWidth="1"/>
    <col min="29" max="32" width="13.28515625" style="4" hidden="1" customWidth="1"/>
    <col min="33" max="33" width="11.42578125" style="4" hidden="1" customWidth="1"/>
    <col min="34" max="34" width="13.7109375" style="4" customWidth="1"/>
    <col min="35" max="35" width="9.5703125" style="4" hidden="1" customWidth="1"/>
    <col min="36" max="36" width="14.5703125" style="4" hidden="1" customWidth="1"/>
    <col min="37" max="37" width="4.28515625" style="4" hidden="1" customWidth="1"/>
    <col min="38" max="38" width="9.5703125" style="4" hidden="1" customWidth="1"/>
    <col min="39" max="40" width="9.140625" style="10" hidden="1" customWidth="1"/>
    <col min="41" max="41" width="13.5703125" style="4" hidden="1" customWidth="1"/>
    <col min="42" max="42" width="9.140625" style="10" hidden="1" customWidth="1"/>
    <col min="43" max="43" width="11.42578125" style="4" hidden="1" customWidth="1"/>
    <col min="44" max="44" width="13.28515625" style="4" hidden="1" customWidth="1"/>
    <col min="45" max="45" width="7.42578125" style="4" hidden="1" customWidth="1"/>
    <col min="46" max="46" width="9.140625" style="10" hidden="1" customWidth="1"/>
    <col min="47" max="47" width="11.7109375" style="4" hidden="1" customWidth="1"/>
    <col min="48" max="55" width="13.7109375" style="4" hidden="1" customWidth="1"/>
    <col min="56" max="56" width="13.42578125" style="4" hidden="1" customWidth="1"/>
    <col min="57" max="57" width="11.5703125" style="4" hidden="1" customWidth="1"/>
    <col min="58" max="59" width="11.42578125" style="4" hidden="1" customWidth="1"/>
    <col min="60" max="60" width="11.7109375" style="4" hidden="1" customWidth="1"/>
    <col min="61" max="62" width="10.5703125" style="4" hidden="1" customWidth="1"/>
    <col min="63" max="65" width="9.140625" style="4" hidden="1" customWidth="1"/>
    <col min="66" max="66" width="13.28515625" style="4" hidden="1" customWidth="1"/>
    <col min="67" max="77" width="9.140625" style="4" hidden="1" customWidth="1"/>
    <col min="78" max="78" width="9.140625" style="4"/>
    <col min="79" max="79" width="10.140625" style="4" bestFit="1" customWidth="1"/>
    <col min="80" max="16384" width="9.140625" style="4"/>
  </cols>
  <sheetData>
    <row r="1" spans="1:67" x14ac:dyDescent="0.2">
      <c r="B1" s="5" t="s">
        <v>0</v>
      </c>
      <c r="C1" s="5"/>
      <c r="D1" s="5"/>
      <c r="L1" s="6"/>
      <c r="M1" s="5"/>
      <c r="N1" s="5"/>
      <c r="O1" s="5"/>
      <c r="P1" s="5"/>
      <c r="Q1" s="5"/>
      <c r="R1" s="5"/>
      <c r="S1" s="5"/>
      <c r="T1" s="5"/>
      <c r="U1" s="7"/>
      <c r="V1" s="8"/>
      <c r="W1" s="5"/>
      <c r="X1" s="4"/>
      <c r="Y1" s="9"/>
      <c r="AC1" s="5"/>
      <c r="AD1" s="5"/>
      <c r="AE1" s="5"/>
      <c r="AF1" s="5"/>
      <c r="AG1" s="5"/>
      <c r="AN1" s="4"/>
      <c r="AR1" s="5"/>
      <c r="AS1" s="5"/>
      <c r="AZ1" s="11" t="s">
        <v>2</v>
      </c>
      <c r="BN1" s="5" t="s">
        <v>1</v>
      </c>
    </row>
    <row r="2" spans="1:67" x14ac:dyDescent="0.2">
      <c r="D2" s="12" t="s">
        <v>3</v>
      </c>
      <c r="E2" s="12" t="s">
        <v>3</v>
      </c>
      <c r="F2" s="12" t="s">
        <v>3</v>
      </c>
      <c r="G2" s="12" t="s">
        <v>3</v>
      </c>
      <c r="H2" s="12" t="s">
        <v>3</v>
      </c>
      <c r="I2" s="12" t="s">
        <v>3</v>
      </c>
      <c r="J2" s="12" t="s">
        <v>3</v>
      </c>
      <c r="K2" s="13" t="s">
        <v>160</v>
      </c>
      <c r="L2" s="14"/>
      <c r="M2" s="12" t="s">
        <v>155</v>
      </c>
      <c r="N2" s="12"/>
      <c r="O2" s="12"/>
      <c r="P2" s="12" t="s">
        <v>5</v>
      </c>
      <c r="Q2" s="5"/>
      <c r="R2" s="5"/>
      <c r="S2" s="5"/>
      <c r="T2" s="5"/>
      <c r="U2" s="7"/>
      <c r="V2" s="8"/>
      <c r="W2" s="5"/>
      <c r="X2" s="4"/>
      <c r="Y2" s="9"/>
      <c r="AC2" s="5"/>
      <c r="AD2" s="5"/>
      <c r="AE2" s="5"/>
      <c r="AF2" s="5"/>
      <c r="AG2" s="5"/>
      <c r="AN2" s="4"/>
      <c r="AR2" s="5"/>
      <c r="AS2" s="5"/>
      <c r="AZ2" s="11"/>
      <c r="BN2" s="5"/>
    </row>
    <row r="3" spans="1:67" x14ac:dyDescent="0.2">
      <c r="D3" s="12"/>
      <c r="E3" s="12"/>
      <c r="F3" s="12" t="s">
        <v>141</v>
      </c>
      <c r="G3" s="12"/>
      <c r="H3" s="12"/>
      <c r="I3" s="12"/>
      <c r="J3" s="12"/>
      <c r="K3" s="15" t="s">
        <v>5</v>
      </c>
      <c r="L3" s="14"/>
      <c r="M3" s="12"/>
      <c r="N3" s="16"/>
      <c r="O3" s="12"/>
      <c r="P3" s="17">
        <v>45626</v>
      </c>
      <c r="Q3" s="12"/>
      <c r="R3" s="13"/>
      <c r="S3" s="18"/>
      <c r="T3" s="12"/>
      <c r="U3" s="18"/>
      <c r="W3" s="5"/>
      <c r="X3" s="4"/>
      <c r="Y3" s="5"/>
      <c r="AB3" s="12"/>
      <c r="AC3" s="5"/>
      <c r="AD3" s="5"/>
      <c r="AE3" s="5"/>
      <c r="AF3" s="5"/>
      <c r="AG3" s="5"/>
      <c r="AH3" s="17"/>
      <c r="AI3" s="12">
        <v>2019</v>
      </c>
      <c r="AJ3" s="12" t="s">
        <v>6</v>
      </c>
      <c r="AK3" s="12"/>
      <c r="AL3" s="12" t="s">
        <v>7</v>
      </c>
      <c r="AM3" s="10" t="s">
        <v>8</v>
      </c>
      <c r="AN3" s="4"/>
      <c r="AO3" s="5" t="s">
        <v>5</v>
      </c>
      <c r="AQ3" s="5" t="s">
        <v>9</v>
      </c>
      <c r="AR3" s="5" t="s">
        <v>10</v>
      </c>
      <c r="AS3" s="5"/>
      <c r="AV3" s="19">
        <v>43830</v>
      </c>
      <c r="AW3" s="19">
        <v>43769</v>
      </c>
      <c r="AX3" s="19">
        <v>43738</v>
      </c>
      <c r="AY3" s="19" t="s">
        <v>11</v>
      </c>
      <c r="AZ3" s="20" t="s">
        <v>5</v>
      </c>
      <c r="BA3" s="17">
        <v>43677</v>
      </c>
      <c r="BB3" s="19">
        <v>43646</v>
      </c>
      <c r="BC3" s="19" t="s">
        <v>12</v>
      </c>
      <c r="BD3" s="21">
        <v>43465</v>
      </c>
      <c r="BE3" s="12">
        <v>2018</v>
      </c>
      <c r="BF3" s="7">
        <v>2017</v>
      </c>
      <c r="BG3" s="12">
        <v>2017</v>
      </c>
      <c r="BH3" s="12"/>
      <c r="BL3" s="4" t="s">
        <v>13</v>
      </c>
      <c r="BN3" s="5" t="s">
        <v>4</v>
      </c>
      <c r="BO3" s="4">
        <v>2021</v>
      </c>
    </row>
    <row r="4" spans="1:67" x14ac:dyDescent="0.2">
      <c r="B4" s="5"/>
      <c r="C4" s="5"/>
      <c r="D4" s="5">
        <v>2029</v>
      </c>
      <c r="E4" s="5">
        <v>2028</v>
      </c>
      <c r="F4" s="5">
        <v>2027</v>
      </c>
      <c r="G4" s="5">
        <v>2026</v>
      </c>
      <c r="H4" s="5">
        <v>2025</v>
      </c>
      <c r="I4" s="5">
        <v>2024</v>
      </c>
      <c r="J4" s="5">
        <v>2024</v>
      </c>
      <c r="K4" s="13">
        <v>2025</v>
      </c>
      <c r="L4" s="14" t="s">
        <v>156</v>
      </c>
      <c r="M4" s="12"/>
      <c r="N4" s="12"/>
      <c r="O4" s="12"/>
      <c r="P4" s="12"/>
      <c r="Q4" s="12"/>
      <c r="R4" s="22"/>
      <c r="S4" s="23"/>
      <c r="T4" s="12"/>
      <c r="U4" s="18"/>
      <c r="V4" s="9"/>
      <c r="W4" s="12"/>
      <c r="X4" s="4"/>
      <c r="Y4" s="9"/>
      <c r="AB4" s="9"/>
      <c r="AC4" s="14"/>
      <c r="AD4" s="14"/>
      <c r="AE4" s="14"/>
      <c r="AF4" s="14"/>
      <c r="AG4" s="14"/>
      <c r="AH4" s="12"/>
      <c r="AI4" s="12" t="s">
        <v>3</v>
      </c>
      <c r="AJ4" s="12"/>
      <c r="AK4" s="12"/>
      <c r="AL4" s="12"/>
      <c r="AN4" s="4"/>
      <c r="AO4" s="9">
        <v>43951</v>
      </c>
      <c r="AQ4" s="14">
        <v>2020</v>
      </c>
      <c r="AR4" s="14" t="s">
        <v>15</v>
      </c>
      <c r="AS4" s="14"/>
      <c r="AU4" s="5">
        <v>2021</v>
      </c>
      <c r="AV4" s="14" t="s">
        <v>14</v>
      </c>
      <c r="AW4" s="14" t="s">
        <v>14</v>
      </c>
      <c r="AX4" s="14" t="s">
        <v>14</v>
      </c>
      <c r="AY4" s="14" t="s">
        <v>16</v>
      </c>
      <c r="AZ4" s="18">
        <v>2019</v>
      </c>
      <c r="BA4" s="12" t="s">
        <v>14</v>
      </c>
      <c r="BB4" s="14" t="s">
        <v>14</v>
      </c>
      <c r="BC4" s="14" t="s">
        <v>17</v>
      </c>
      <c r="BD4" s="24" t="s">
        <v>5</v>
      </c>
      <c r="BE4" s="12" t="s">
        <v>3</v>
      </c>
      <c r="BF4" s="18" t="s">
        <v>14</v>
      </c>
      <c r="BG4" s="12" t="s">
        <v>3</v>
      </c>
      <c r="BH4" s="5">
        <v>2020</v>
      </c>
      <c r="BI4" s="5">
        <v>2019</v>
      </c>
      <c r="BJ4" s="5">
        <v>2018</v>
      </c>
      <c r="BK4" s="5">
        <v>2017</v>
      </c>
      <c r="BL4" s="5">
        <v>2016</v>
      </c>
      <c r="BN4" s="14">
        <v>2021</v>
      </c>
    </row>
    <row r="5" spans="1:67" x14ac:dyDescent="0.2">
      <c r="B5" s="5"/>
      <c r="C5" s="5"/>
      <c r="D5" s="5"/>
      <c r="E5" s="5"/>
      <c r="F5" s="5"/>
      <c r="G5" s="5"/>
      <c r="H5" s="5"/>
      <c r="I5" s="5"/>
      <c r="J5" s="5"/>
      <c r="K5" s="3"/>
      <c r="L5" s="5"/>
      <c r="M5" s="5"/>
      <c r="N5" s="12"/>
      <c r="O5" s="12"/>
      <c r="Q5" s="12"/>
      <c r="R5" s="13"/>
      <c r="S5" s="18"/>
      <c r="T5" s="12"/>
      <c r="U5" s="18"/>
      <c r="V5" s="9"/>
      <c r="W5" s="12"/>
      <c r="X5" s="4"/>
      <c r="Y5" s="9"/>
      <c r="AB5" s="9"/>
      <c r="AC5" s="14"/>
      <c r="AD5" s="14"/>
      <c r="AE5" s="14"/>
      <c r="AF5" s="14"/>
      <c r="AG5" s="14"/>
      <c r="AH5" s="12"/>
      <c r="AI5" s="12"/>
      <c r="AJ5" s="12"/>
      <c r="AK5" s="12"/>
      <c r="AL5" s="12"/>
      <c r="AN5" s="4"/>
      <c r="AO5" s="9"/>
      <c r="AQ5" s="14"/>
      <c r="AR5" s="14"/>
      <c r="AS5" s="14"/>
      <c r="AU5" s="5"/>
      <c r="AV5" s="14"/>
      <c r="AW5" s="14"/>
      <c r="AX5" s="14"/>
      <c r="AY5" s="14"/>
      <c r="AZ5" s="18"/>
      <c r="BA5" s="12"/>
      <c r="BB5" s="14"/>
      <c r="BC5" s="14"/>
      <c r="BD5" s="24"/>
      <c r="BE5" s="12"/>
      <c r="BF5" s="18"/>
      <c r="BG5" s="12"/>
      <c r="BH5" s="5"/>
      <c r="BI5" s="5"/>
      <c r="BJ5" s="5"/>
      <c r="BK5" s="5"/>
      <c r="BL5" s="5"/>
      <c r="BN5" s="14"/>
    </row>
    <row r="6" spans="1:67" ht="9.6" customHeight="1" x14ac:dyDescent="0.15">
      <c r="B6" s="4" t="s">
        <v>18</v>
      </c>
      <c r="D6" s="3">
        <v>33000</v>
      </c>
      <c r="E6" s="3">
        <v>33000</v>
      </c>
      <c r="F6" s="3">
        <v>31500</v>
      </c>
      <c r="G6" s="3">
        <v>31500</v>
      </c>
      <c r="H6" s="3">
        <v>31500</v>
      </c>
      <c r="I6" s="3">
        <v>33000</v>
      </c>
      <c r="J6" s="3">
        <v>33000</v>
      </c>
      <c r="K6" s="3">
        <v>33000</v>
      </c>
      <c r="L6" s="25"/>
      <c r="M6" s="3">
        <v>35000</v>
      </c>
      <c r="N6" s="25"/>
      <c r="O6" s="25"/>
      <c r="P6" s="3">
        <v>33000</v>
      </c>
      <c r="Q6" s="25"/>
      <c r="R6" s="26"/>
      <c r="S6" s="27"/>
      <c r="T6" s="25"/>
      <c r="U6" s="27"/>
      <c r="V6" s="25"/>
      <c r="W6" s="25"/>
      <c r="X6" s="4"/>
      <c r="Y6" s="25"/>
      <c r="Z6" s="4"/>
      <c r="AA6" s="28"/>
      <c r="AB6" s="25"/>
      <c r="AC6" s="29"/>
      <c r="AD6" s="29"/>
      <c r="AE6" s="29"/>
      <c r="AF6" s="29"/>
      <c r="AG6" s="29"/>
      <c r="AH6" s="25"/>
      <c r="AI6" s="25">
        <v>34000</v>
      </c>
      <c r="AJ6" s="25"/>
      <c r="AK6" s="25"/>
      <c r="AL6" s="25"/>
      <c r="AM6" s="4"/>
      <c r="AN6" s="4"/>
      <c r="AP6" s="4"/>
      <c r="AQ6" s="29"/>
      <c r="AR6" s="29"/>
      <c r="AS6" s="29"/>
      <c r="AT6" s="4"/>
      <c r="AV6" s="29"/>
      <c r="AW6" s="29"/>
      <c r="AX6" s="29"/>
      <c r="AY6" s="29"/>
      <c r="AZ6" s="27"/>
      <c r="BA6" s="25"/>
      <c r="BB6" s="29"/>
      <c r="BC6" s="29"/>
      <c r="BD6" s="27">
        <v>34933</v>
      </c>
      <c r="BE6" s="25">
        <v>34000</v>
      </c>
      <c r="BF6" s="27">
        <v>34075</v>
      </c>
      <c r="BG6" s="25">
        <v>33000</v>
      </c>
      <c r="BN6" s="29">
        <v>34000</v>
      </c>
    </row>
    <row r="7" spans="1:67" ht="11.25" x14ac:dyDescent="0.15">
      <c r="B7" s="5" t="s">
        <v>19</v>
      </c>
      <c r="C7" s="5"/>
      <c r="K7" s="3"/>
      <c r="M7" s="3"/>
      <c r="O7" s="25"/>
      <c r="P7" s="3"/>
      <c r="R7" s="30"/>
      <c r="S7" s="31"/>
      <c r="U7" s="31"/>
      <c r="X7" s="4"/>
      <c r="Z7" s="4"/>
      <c r="AA7" s="4"/>
      <c r="AC7" s="32"/>
      <c r="AD7" s="32"/>
      <c r="AE7" s="32"/>
      <c r="AF7" s="29"/>
      <c r="AG7" s="32"/>
      <c r="AM7" s="4"/>
      <c r="AN7" s="4"/>
      <c r="AP7" s="4"/>
      <c r="AQ7" s="32"/>
      <c r="AR7" s="32"/>
      <c r="AS7" s="32"/>
      <c r="AT7" s="4"/>
      <c r="AV7" s="32"/>
      <c r="AW7" s="32"/>
      <c r="AX7" s="32"/>
      <c r="AY7" s="32"/>
      <c r="AZ7" s="31"/>
      <c r="BB7" s="32"/>
      <c r="BC7" s="32"/>
      <c r="BD7" s="31"/>
      <c r="BF7" s="27"/>
      <c r="BN7" s="32"/>
    </row>
    <row r="8" spans="1:67" ht="11.25" x14ac:dyDescent="0.15">
      <c r="A8" s="4">
        <v>1010</v>
      </c>
      <c r="B8" s="4" t="s">
        <v>20</v>
      </c>
      <c r="D8" s="26">
        <f t="shared" ref="D8:E8" si="0">723*D124</f>
        <v>813375</v>
      </c>
      <c r="E8" s="26">
        <f t="shared" si="0"/>
        <v>668775</v>
      </c>
      <c r="F8" s="26">
        <v>813375</v>
      </c>
      <c r="G8" s="26">
        <v>813375</v>
      </c>
      <c r="H8" s="26">
        <v>813375</v>
      </c>
      <c r="I8" s="26">
        <f t="shared" ref="I8" si="1">723*I124</f>
        <v>668775</v>
      </c>
      <c r="J8" s="26">
        <f t="shared" ref="J8" si="2">723*J124</f>
        <v>668775</v>
      </c>
      <c r="K8" s="26">
        <v>813375</v>
      </c>
      <c r="L8" s="25">
        <f>K8-M8</f>
        <v>144600</v>
      </c>
      <c r="M8" s="26">
        <v>668775</v>
      </c>
      <c r="N8" s="25"/>
      <c r="O8" s="25"/>
      <c r="P8" s="26">
        <v>813375</v>
      </c>
      <c r="Q8" s="25"/>
      <c r="R8" s="25"/>
      <c r="S8" s="29"/>
      <c r="T8" s="29"/>
      <c r="U8" s="29"/>
      <c r="V8" s="29"/>
      <c r="W8" s="29"/>
      <c r="X8" s="4"/>
      <c r="Y8" s="29"/>
      <c r="Z8" s="4"/>
      <c r="AA8" s="28"/>
      <c r="AB8" s="29"/>
      <c r="AC8" s="29"/>
      <c r="AD8" s="29"/>
      <c r="AE8" s="29"/>
      <c r="AF8" s="29"/>
      <c r="AG8" s="29"/>
      <c r="AH8" s="25"/>
      <c r="AI8" s="25">
        <v>432600</v>
      </c>
      <c r="AJ8" s="29">
        <v>505400</v>
      </c>
      <c r="AK8" s="25"/>
      <c r="AL8" s="25">
        <f t="shared" ref="AL8:AL23" si="3">AB8-AF8</f>
        <v>0</v>
      </c>
      <c r="AM8" s="25">
        <f t="shared" ref="AM8:AM46" si="4">AB8-AO8</f>
        <v>-487350</v>
      </c>
      <c r="AN8" s="4"/>
      <c r="AO8" s="29">
        <v>487350</v>
      </c>
      <c r="AP8" s="4"/>
      <c r="AQ8" s="29">
        <f>722*25</f>
        <v>18050</v>
      </c>
      <c r="AR8" s="29">
        <f>AF8-AI8</f>
        <v>-432600</v>
      </c>
      <c r="AS8" s="29"/>
      <c r="AT8" s="4"/>
      <c r="AU8" s="4">
        <v>750</v>
      </c>
      <c r="AV8" s="29">
        <v>433200</v>
      </c>
      <c r="AW8" s="29">
        <v>433200</v>
      </c>
      <c r="AX8" s="29">
        <v>433200</v>
      </c>
      <c r="AY8" s="29"/>
      <c r="AZ8" s="27">
        <f>AW8+AY8</f>
        <v>433200</v>
      </c>
      <c r="BA8" s="25">
        <v>433200</v>
      </c>
      <c r="BB8" s="29">
        <v>433200</v>
      </c>
      <c r="BC8" s="29">
        <f>AV8-AI8</f>
        <v>600</v>
      </c>
      <c r="BD8" s="27">
        <f>432852-1715</f>
        <v>431137</v>
      </c>
      <c r="BE8" s="25">
        <v>432600</v>
      </c>
      <c r="BF8" s="27">
        <v>432900</v>
      </c>
      <c r="BG8" s="25">
        <v>432600</v>
      </c>
      <c r="BH8" s="4">
        <v>675</v>
      </c>
      <c r="BI8" s="4">
        <v>600</v>
      </c>
      <c r="BJ8" s="4">
        <v>600</v>
      </c>
      <c r="BK8" s="4">
        <v>600</v>
      </c>
      <c r="BL8" s="4">
        <v>600</v>
      </c>
      <c r="BN8" s="29">
        <f>BL8+BM8</f>
        <v>600</v>
      </c>
      <c r="BO8" s="4" t="s">
        <v>21</v>
      </c>
    </row>
    <row r="9" spans="1:67" ht="11.25" x14ac:dyDescent="0.15">
      <c r="B9" s="4" t="s">
        <v>22</v>
      </c>
      <c r="D9" s="26" t="s">
        <v>141</v>
      </c>
      <c r="E9" s="26">
        <f>723*E126</f>
        <v>144600</v>
      </c>
      <c r="F9" s="26">
        <v>144600</v>
      </c>
      <c r="G9" s="26">
        <v>144600</v>
      </c>
      <c r="H9" s="26" t="s">
        <v>141</v>
      </c>
      <c r="I9" s="26">
        <f>723*I126</f>
        <v>144600</v>
      </c>
      <c r="J9" s="26">
        <f>723*J126</f>
        <v>144600</v>
      </c>
      <c r="K9" s="26" t="s">
        <v>141</v>
      </c>
      <c r="L9" s="25" t="e">
        <f t="shared" ref="L9:L71" si="5">K9-M9</f>
        <v>#VALUE!</v>
      </c>
      <c r="M9" s="26"/>
      <c r="N9" s="25"/>
      <c r="O9" s="25"/>
      <c r="P9" s="26"/>
      <c r="Q9" s="25"/>
      <c r="R9" s="25"/>
      <c r="S9" s="29"/>
      <c r="T9" s="29"/>
      <c r="U9" s="29"/>
      <c r="V9" s="29"/>
      <c r="W9" s="29"/>
      <c r="X9" s="4"/>
      <c r="Y9" s="29"/>
      <c r="Z9" s="4"/>
      <c r="AA9" s="28"/>
      <c r="AB9" s="29"/>
      <c r="AC9" s="29"/>
      <c r="AD9" s="29"/>
      <c r="AE9" s="29"/>
      <c r="AF9" s="29"/>
      <c r="AG9" s="29"/>
      <c r="AH9" s="25"/>
      <c r="AI9" s="25"/>
      <c r="AJ9" s="29"/>
      <c r="AK9" s="25"/>
      <c r="AL9" s="25"/>
      <c r="AM9" s="25"/>
      <c r="AN9" s="4"/>
      <c r="AO9" s="29"/>
      <c r="AP9" s="4"/>
      <c r="AQ9" s="29"/>
      <c r="AR9" s="29"/>
      <c r="AS9" s="29"/>
      <c r="AT9" s="4"/>
      <c r="AV9" s="29"/>
      <c r="AW9" s="29"/>
      <c r="AX9" s="29"/>
      <c r="AY9" s="29"/>
      <c r="AZ9" s="27"/>
      <c r="BA9" s="25"/>
      <c r="BB9" s="29"/>
      <c r="BC9" s="29"/>
      <c r="BD9" s="27"/>
      <c r="BE9" s="25"/>
      <c r="BF9" s="27"/>
      <c r="BG9" s="25"/>
      <c r="BN9" s="29"/>
    </row>
    <row r="10" spans="1:67" ht="11.25" x14ac:dyDescent="0.15">
      <c r="A10" s="4">
        <v>1015</v>
      </c>
      <c r="B10" s="4" t="s">
        <v>23</v>
      </c>
      <c r="D10" s="3">
        <v>72300</v>
      </c>
      <c r="E10" s="3">
        <v>72300</v>
      </c>
      <c r="F10" s="3">
        <v>72300</v>
      </c>
      <c r="G10" s="3">
        <v>72300</v>
      </c>
      <c r="H10" s="3">
        <v>72300</v>
      </c>
      <c r="I10" s="3">
        <v>72300</v>
      </c>
      <c r="J10" s="3">
        <v>72300</v>
      </c>
      <c r="K10" s="3">
        <v>72300</v>
      </c>
      <c r="L10" s="25">
        <f t="shared" si="5"/>
        <v>0</v>
      </c>
      <c r="M10" s="3">
        <v>72300</v>
      </c>
      <c r="N10" s="25"/>
      <c r="O10" s="25"/>
      <c r="P10" s="3">
        <v>72300</v>
      </c>
      <c r="Q10" s="25"/>
      <c r="R10" s="25"/>
      <c r="S10" s="29"/>
      <c r="T10" s="29"/>
      <c r="U10" s="29"/>
      <c r="V10" s="29"/>
      <c r="W10" s="29"/>
      <c r="X10" s="4"/>
      <c r="Y10" s="29"/>
      <c r="Z10" s="4"/>
      <c r="AA10" s="28"/>
      <c r="AB10" s="29"/>
      <c r="AC10" s="29"/>
      <c r="AD10" s="29"/>
      <c r="AE10" s="29"/>
      <c r="AF10" s="29"/>
      <c r="AG10" s="29"/>
      <c r="AH10" s="25"/>
      <c r="AI10" s="25">
        <v>72100</v>
      </c>
      <c r="AJ10" s="29">
        <v>72200</v>
      </c>
      <c r="AK10" s="25"/>
      <c r="AL10" s="25">
        <f t="shared" si="3"/>
        <v>0</v>
      </c>
      <c r="AM10" s="25">
        <f t="shared" si="4"/>
        <v>-72200</v>
      </c>
      <c r="AN10" s="4"/>
      <c r="AO10" s="29">
        <v>72200</v>
      </c>
      <c r="AP10" s="4"/>
      <c r="AQ10" s="29"/>
      <c r="AR10" s="29">
        <f>AF10-AI10</f>
        <v>-72100</v>
      </c>
      <c r="AS10" s="29"/>
      <c r="AT10" s="4"/>
      <c r="AU10" s="4">
        <v>100</v>
      </c>
      <c r="AV10" s="29">
        <v>72200</v>
      </c>
      <c r="AW10" s="29">
        <v>72200</v>
      </c>
      <c r="AX10" s="29">
        <v>72200</v>
      </c>
      <c r="AY10" s="29"/>
      <c r="AZ10" s="27">
        <f>AW10+AY10</f>
        <v>72200</v>
      </c>
      <c r="BA10" s="25">
        <v>72200</v>
      </c>
      <c r="BB10" s="29">
        <v>72200</v>
      </c>
      <c r="BC10" s="29">
        <f>AV10-AI10</f>
        <v>100</v>
      </c>
      <c r="BD10" s="27">
        <v>72142</v>
      </c>
      <c r="BE10" s="25">
        <v>75000</v>
      </c>
      <c r="BF10" s="27">
        <v>72100</v>
      </c>
      <c r="BG10" s="25">
        <v>75000</v>
      </c>
      <c r="BH10" s="4">
        <v>100</v>
      </c>
      <c r="BI10" s="4">
        <v>100</v>
      </c>
      <c r="BJ10" s="25">
        <v>100</v>
      </c>
      <c r="BK10" s="25">
        <v>100</v>
      </c>
      <c r="BL10" s="25">
        <v>70</v>
      </c>
      <c r="BN10" s="29">
        <f>BL10+BM10</f>
        <v>70</v>
      </c>
    </row>
    <row r="11" spans="1:67" ht="11.25" x14ac:dyDescent="0.15">
      <c r="B11" s="4" t="s">
        <v>163</v>
      </c>
      <c r="D11" s="3"/>
      <c r="E11" s="3"/>
      <c r="F11" s="3">
        <v>130140</v>
      </c>
      <c r="G11" s="3">
        <v>130140</v>
      </c>
      <c r="H11" s="3"/>
      <c r="I11" s="3"/>
      <c r="J11" s="3"/>
      <c r="K11" s="3"/>
      <c r="L11" s="25"/>
      <c r="M11" s="3"/>
      <c r="N11" s="25"/>
      <c r="O11" s="25"/>
      <c r="P11" s="3"/>
      <c r="Q11" s="25"/>
      <c r="R11" s="25"/>
      <c r="S11" s="29"/>
      <c r="T11" s="29"/>
      <c r="U11" s="29"/>
      <c r="V11" s="29"/>
      <c r="W11" s="29"/>
      <c r="X11" s="4"/>
      <c r="Y11" s="29"/>
      <c r="Z11" s="4"/>
      <c r="AA11" s="28"/>
      <c r="AB11" s="29"/>
      <c r="AC11" s="29"/>
      <c r="AD11" s="29"/>
      <c r="AE11" s="29"/>
      <c r="AF11" s="29"/>
      <c r="AG11" s="29"/>
      <c r="AH11" s="25"/>
      <c r="AI11" s="25"/>
      <c r="AJ11" s="29"/>
      <c r="AK11" s="25"/>
      <c r="AL11" s="25"/>
      <c r="AM11" s="25"/>
      <c r="AN11" s="4"/>
      <c r="AO11" s="29"/>
      <c r="AP11" s="4"/>
      <c r="AQ11" s="29"/>
      <c r="AR11" s="29"/>
      <c r="AS11" s="29"/>
      <c r="AT11" s="4"/>
      <c r="AV11" s="29"/>
      <c r="AW11" s="29"/>
      <c r="AX11" s="29"/>
      <c r="AY11" s="29"/>
      <c r="AZ11" s="27"/>
      <c r="BA11" s="25"/>
      <c r="BB11" s="29"/>
      <c r="BC11" s="29"/>
      <c r="BD11" s="27"/>
      <c r="BE11" s="25"/>
      <c r="BF11" s="27"/>
      <c r="BG11" s="25"/>
      <c r="BJ11" s="25"/>
      <c r="BK11" s="25"/>
      <c r="BL11" s="25"/>
      <c r="BN11" s="29"/>
    </row>
    <row r="12" spans="1:67" ht="16.5" customHeight="1" x14ac:dyDescent="0.15">
      <c r="A12" s="4">
        <v>1020</v>
      </c>
      <c r="B12" s="4" t="s">
        <v>24</v>
      </c>
      <c r="D12" s="3">
        <f t="shared" ref="D12" si="6">D6*D125</f>
        <v>486750</v>
      </c>
      <c r="E12" s="3">
        <f t="shared" ref="E12:I12" si="7">E6*E125</f>
        <v>354750</v>
      </c>
      <c r="F12" s="3">
        <v>464625</v>
      </c>
      <c r="G12" s="3">
        <v>464625</v>
      </c>
      <c r="H12" s="3">
        <f t="shared" si="7"/>
        <v>338625</v>
      </c>
      <c r="I12" s="3">
        <f t="shared" si="7"/>
        <v>354750</v>
      </c>
      <c r="J12" s="3">
        <f t="shared" ref="J12" si="8">J6*J125</f>
        <v>354750</v>
      </c>
      <c r="K12" s="3">
        <v>448812</v>
      </c>
      <c r="L12" s="25">
        <f t="shared" si="5"/>
        <v>90924</v>
      </c>
      <c r="M12" s="3">
        <f>357588+300</f>
        <v>357888</v>
      </c>
      <c r="N12" s="25"/>
      <c r="O12" s="25"/>
      <c r="P12" s="3">
        <v>467073</v>
      </c>
      <c r="Q12" s="25"/>
      <c r="R12" s="25"/>
      <c r="S12" s="29"/>
      <c r="T12" s="29"/>
      <c r="U12" s="29"/>
      <c r="V12" s="29"/>
      <c r="W12" s="29"/>
      <c r="X12" s="4"/>
      <c r="Y12" s="29"/>
      <c r="Z12" s="4"/>
      <c r="AA12" s="28"/>
      <c r="AB12" s="29"/>
      <c r="AC12" s="29"/>
      <c r="AD12" s="29"/>
      <c r="AE12" s="29"/>
      <c r="AF12" s="29"/>
      <c r="AG12" s="29"/>
      <c r="AH12" s="25"/>
      <c r="AI12" s="25">
        <f>AI6*7</f>
        <v>238000</v>
      </c>
      <c r="AJ12" s="29">
        <v>280500</v>
      </c>
      <c r="AK12" s="25"/>
      <c r="AL12" s="25">
        <f t="shared" si="3"/>
        <v>0</v>
      </c>
      <c r="AM12" s="25">
        <f t="shared" si="4"/>
        <v>-264283</v>
      </c>
      <c r="AN12" s="4"/>
      <c r="AO12" s="29">
        <v>264283</v>
      </c>
      <c r="AP12" s="4"/>
      <c r="AQ12" s="29">
        <f>34000*0.5</f>
        <v>17000</v>
      </c>
      <c r="AR12" s="29">
        <f>AF12-AI12</f>
        <v>-238000</v>
      </c>
      <c r="AS12" s="29"/>
      <c r="AT12" s="4"/>
      <c r="AU12" s="4">
        <v>9.5</v>
      </c>
      <c r="AV12" s="29">
        <v>244461</v>
      </c>
      <c r="AW12" s="29">
        <v>244461</v>
      </c>
      <c r="AX12" s="29">
        <v>244461</v>
      </c>
      <c r="AY12" s="29"/>
      <c r="AZ12" s="27">
        <v>239371</v>
      </c>
      <c r="BA12" s="25">
        <v>244461</v>
      </c>
      <c r="BB12" s="29">
        <v>244461</v>
      </c>
      <c r="BC12" s="29">
        <f>AV12-AI12</f>
        <v>6461</v>
      </c>
      <c r="BD12" s="27">
        <v>246246</v>
      </c>
      <c r="BE12" s="25">
        <f>BE6*7</f>
        <v>238000</v>
      </c>
      <c r="BF12" s="27">
        <v>238322</v>
      </c>
      <c r="BG12" s="25">
        <v>231000</v>
      </c>
      <c r="BH12" s="4">
        <v>7.75</v>
      </c>
      <c r="BI12" s="4">
        <v>7</v>
      </c>
      <c r="BJ12" s="4">
        <v>7</v>
      </c>
      <c r="BK12" s="4">
        <v>7</v>
      </c>
      <c r="BL12" s="4">
        <v>7</v>
      </c>
      <c r="BN12" s="29">
        <f>BL12+BM12</f>
        <v>7</v>
      </c>
      <c r="BO12" s="4">
        <v>750</v>
      </c>
    </row>
    <row r="13" spans="1:67" ht="11.25" x14ac:dyDescent="0.15">
      <c r="D13" s="3"/>
      <c r="E13" s="3"/>
      <c r="F13" s="3"/>
      <c r="G13" s="3"/>
      <c r="H13" s="3"/>
      <c r="I13" s="3"/>
      <c r="J13" s="3"/>
      <c r="K13" s="3"/>
      <c r="L13" s="25">
        <f t="shared" si="5"/>
        <v>0</v>
      </c>
      <c r="M13" s="3"/>
      <c r="N13" s="25"/>
      <c r="O13" s="25"/>
      <c r="P13" s="3"/>
      <c r="Q13" s="25"/>
      <c r="R13" s="25"/>
      <c r="S13" s="29"/>
      <c r="T13" s="29"/>
      <c r="U13" s="29"/>
      <c r="V13" s="29"/>
      <c r="W13" s="29"/>
      <c r="X13" s="4"/>
      <c r="Y13" s="29"/>
      <c r="Z13" s="4"/>
      <c r="AA13" s="28"/>
      <c r="AB13" s="29"/>
      <c r="AC13" s="29"/>
      <c r="AD13" s="29"/>
      <c r="AE13" s="29"/>
      <c r="AF13" s="29"/>
      <c r="AG13" s="29"/>
      <c r="AH13" s="25"/>
      <c r="AI13" s="25"/>
      <c r="AJ13" s="29"/>
      <c r="AK13" s="25"/>
      <c r="AL13" s="25">
        <f t="shared" si="3"/>
        <v>0</v>
      </c>
      <c r="AM13" s="25">
        <f t="shared" si="4"/>
        <v>0</v>
      </c>
      <c r="AN13" s="4"/>
      <c r="AO13" s="29"/>
      <c r="AP13" s="4"/>
      <c r="AQ13" s="29"/>
      <c r="AR13" s="29">
        <f>AF13-AI13</f>
        <v>0</v>
      </c>
      <c r="AS13" s="29"/>
      <c r="AT13" s="4"/>
      <c r="AV13" s="29"/>
      <c r="AW13" s="29"/>
      <c r="AX13" s="29"/>
      <c r="AY13" s="29"/>
      <c r="AZ13" s="27">
        <f>AW13+AY13</f>
        <v>0</v>
      </c>
      <c r="BA13" s="25"/>
      <c r="BB13" s="29"/>
      <c r="BC13" s="29">
        <f>AV13-AI13</f>
        <v>0</v>
      </c>
      <c r="BD13" s="27">
        <f>9310+8820+7908</f>
        <v>26038</v>
      </c>
      <c r="BE13" s="25"/>
      <c r="BF13" s="27"/>
      <c r="BG13" s="25"/>
      <c r="BH13" s="25"/>
      <c r="BN13" s="29">
        <f>BL13+BM13</f>
        <v>0</v>
      </c>
    </row>
    <row r="14" spans="1:67" ht="11.25" x14ac:dyDescent="0.15">
      <c r="B14" s="4" t="s">
        <v>162</v>
      </c>
      <c r="D14" s="3" t="s">
        <v>141</v>
      </c>
      <c r="E14" s="3">
        <f t="shared" ref="E14:J14" si="9">E6*E127</f>
        <v>132000</v>
      </c>
      <c r="F14" s="3">
        <v>94500</v>
      </c>
      <c r="G14" s="3">
        <v>94500</v>
      </c>
      <c r="H14" s="3">
        <f t="shared" si="9"/>
        <v>126000</v>
      </c>
      <c r="I14" s="3">
        <f t="shared" si="9"/>
        <v>132000</v>
      </c>
      <c r="J14" s="3">
        <f t="shared" si="9"/>
        <v>132000</v>
      </c>
      <c r="K14" s="3">
        <v>300</v>
      </c>
      <c r="L14" s="25">
        <f t="shared" si="5"/>
        <v>300</v>
      </c>
      <c r="M14" s="3"/>
      <c r="N14" s="25"/>
      <c r="O14" s="25"/>
      <c r="P14" s="3"/>
      <c r="Q14" s="25"/>
      <c r="R14" s="25"/>
      <c r="S14" s="29"/>
      <c r="T14" s="29"/>
      <c r="U14" s="29"/>
      <c r="V14" s="29"/>
      <c r="W14" s="29"/>
      <c r="X14" s="4"/>
      <c r="Y14" s="29"/>
      <c r="Z14" s="4"/>
      <c r="AA14" s="28"/>
      <c r="AB14" s="29"/>
      <c r="AC14" s="29"/>
      <c r="AD14" s="29"/>
      <c r="AE14" s="29"/>
      <c r="AF14" s="29"/>
      <c r="AG14" s="29"/>
      <c r="AH14" s="25"/>
      <c r="AI14" s="25"/>
      <c r="AJ14" s="29"/>
      <c r="AK14" s="25"/>
      <c r="AL14" s="25"/>
      <c r="AM14" s="25"/>
      <c r="AN14" s="4"/>
      <c r="AO14" s="29"/>
      <c r="AP14" s="4"/>
      <c r="AQ14" s="29"/>
      <c r="AR14" s="29"/>
      <c r="AS14" s="29"/>
      <c r="AT14" s="4"/>
      <c r="AV14" s="29"/>
      <c r="AW14" s="29"/>
      <c r="AX14" s="29"/>
      <c r="AY14" s="29"/>
      <c r="AZ14" s="27"/>
      <c r="BA14" s="25"/>
      <c r="BB14" s="29"/>
      <c r="BC14" s="29"/>
      <c r="BD14" s="27"/>
      <c r="BE14" s="25"/>
      <c r="BF14" s="27"/>
      <c r="BG14" s="25"/>
      <c r="BH14" s="25"/>
      <c r="BN14" s="29"/>
    </row>
    <row r="15" spans="1:67" ht="11.25" x14ac:dyDescent="0.15">
      <c r="A15" s="33" t="s">
        <v>25</v>
      </c>
      <c r="B15" s="4" t="s">
        <v>26</v>
      </c>
      <c r="D15" s="3">
        <v>15000</v>
      </c>
      <c r="E15" s="3">
        <v>15000</v>
      </c>
      <c r="F15" s="3">
        <v>15000</v>
      </c>
      <c r="G15" s="3">
        <v>15000</v>
      </c>
      <c r="H15" s="3">
        <v>15000</v>
      </c>
      <c r="I15" s="3">
        <v>15000</v>
      </c>
      <c r="J15" s="3">
        <v>15000</v>
      </c>
      <c r="K15" s="3">
        <v>10954</v>
      </c>
      <c r="L15" s="25">
        <f t="shared" si="5"/>
        <v>-1083</v>
      </c>
      <c r="M15" s="3">
        <v>12037</v>
      </c>
      <c r="N15" s="25"/>
      <c r="O15" s="25"/>
      <c r="P15" s="3">
        <v>16700</v>
      </c>
      <c r="Q15" s="25"/>
      <c r="R15" s="25"/>
      <c r="S15" s="29"/>
      <c r="T15" s="29"/>
      <c r="U15" s="29"/>
      <c r="V15" s="29"/>
      <c r="W15" s="29"/>
      <c r="X15" s="4"/>
      <c r="Y15" s="29"/>
      <c r="Z15" s="4"/>
      <c r="AA15" s="28"/>
      <c r="AB15" s="29"/>
      <c r="AC15" s="29"/>
      <c r="AD15" s="29"/>
      <c r="AE15" s="29"/>
      <c r="AF15" s="29"/>
      <c r="AG15" s="29"/>
      <c r="AH15" s="25"/>
      <c r="AI15" s="25">
        <v>14000</v>
      </c>
      <c r="AJ15" s="29">
        <v>14000</v>
      </c>
      <c r="AK15" s="25"/>
      <c r="AL15" s="25">
        <f t="shared" si="3"/>
        <v>0</v>
      </c>
      <c r="AM15" s="25">
        <f t="shared" si="4"/>
        <v>-900</v>
      </c>
      <c r="AN15" s="4"/>
      <c r="AO15" s="29">
        <f>300+600</f>
        <v>900</v>
      </c>
      <c r="AP15" s="4"/>
      <c r="AQ15" s="29"/>
      <c r="AR15" s="29">
        <f>AF15-AI15</f>
        <v>-14000</v>
      </c>
      <c r="AS15" s="29"/>
      <c r="AT15" s="4"/>
      <c r="AV15" s="29">
        <f>300+24894</f>
        <v>25194</v>
      </c>
      <c r="AW15" s="29">
        <f>300+21594</f>
        <v>21894</v>
      </c>
      <c r="AX15" s="29">
        <f>300+21594</f>
        <v>21894</v>
      </c>
      <c r="AY15" s="29"/>
      <c r="AZ15" s="27">
        <v>24894</v>
      </c>
      <c r="BA15" s="25">
        <f>300+19040</f>
        <v>19340</v>
      </c>
      <c r="BB15" s="29">
        <f>300+19040</f>
        <v>19340</v>
      </c>
      <c r="BC15" s="29">
        <f>AV15-AI15</f>
        <v>11194</v>
      </c>
      <c r="BD15" s="27">
        <v>17810</v>
      </c>
      <c r="BE15" s="25">
        <v>14000</v>
      </c>
      <c r="BF15" s="27">
        <v>25084</v>
      </c>
      <c r="BG15" s="25">
        <v>14000</v>
      </c>
      <c r="BH15" s="25">
        <f>AG8+AG10</f>
        <v>0</v>
      </c>
      <c r="BN15" s="29">
        <f>BL15+BM15</f>
        <v>0</v>
      </c>
    </row>
    <row r="16" spans="1:67" ht="11.25" x14ac:dyDescent="0.15">
      <c r="A16" s="33">
        <v>1110</v>
      </c>
      <c r="B16" s="4" t="s">
        <v>27</v>
      </c>
      <c r="D16" s="3"/>
      <c r="E16" s="3"/>
      <c r="F16" s="3"/>
      <c r="G16" s="3"/>
      <c r="H16" s="3"/>
      <c r="I16" s="3"/>
      <c r="J16" s="3">
        <f>J8*J129</f>
        <v>0</v>
      </c>
      <c r="K16" s="3"/>
      <c r="L16" s="25">
        <f t="shared" si="5"/>
        <v>0</v>
      </c>
      <c r="M16" s="3"/>
      <c r="N16" s="25"/>
      <c r="O16" s="25"/>
      <c r="P16" s="3"/>
      <c r="Q16" s="25"/>
      <c r="R16" s="25"/>
      <c r="S16" s="29"/>
      <c r="T16" s="29"/>
      <c r="U16" s="29"/>
      <c r="V16" s="29"/>
      <c r="W16" s="29"/>
      <c r="X16" s="4"/>
      <c r="Y16" s="29"/>
      <c r="Z16" s="4"/>
      <c r="AA16" s="28"/>
      <c r="AB16" s="29"/>
      <c r="AC16" s="29"/>
      <c r="AD16" s="29"/>
      <c r="AE16" s="29"/>
      <c r="AF16" s="29"/>
      <c r="AG16" s="29"/>
      <c r="AH16" s="25"/>
      <c r="AI16" s="25"/>
      <c r="AJ16" s="29"/>
      <c r="AK16" s="25"/>
      <c r="AL16" s="25"/>
      <c r="AM16" s="25"/>
      <c r="AN16" s="4"/>
      <c r="AO16" s="29"/>
      <c r="AP16" s="4"/>
      <c r="AQ16" s="29"/>
      <c r="AR16" s="29"/>
      <c r="AS16" s="29"/>
      <c r="AT16" s="4"/>
      <c r="AV16" s="29"/>
      <c r="AW16" s="29"/>
      <c r="AX16" s="29"/>
      <c r="AY16" s="29"/>
      <c r="AZ16" s="27"/>
      <c r="BA16" s="25"/>
      <c r="BB16" s="29"/>
      <c r="BC16" s="29"/>
      <c r="BD16" s="27"/>
      <c r="BE16" s="25"/>
      <c r="BF16" s="27"/>
      <c r="BG16" s="25"/>
      <c r="BH16" s="25"/>
      <c r="BN16" s="29"/>
    </row>
    <row r="17" spans="1:79" ht="11.25" x14ac:dyDescent="0.15">
      <c r="A17" s="33">
        <v>1120</v>
      </c>
      <c r="B17" s="4" t="s">
        <v>28</v>
      </c>
      <c r="D17" s="3"/>
      <c r="E17" s="3"/>
      <c r="F17" s="3"/>
      <c r="G17" s="3"/>
      <c r="H17" s="3"/>
      <c r="I17" s="3"/>
      <c r="J17" s="3"/>
      <c r="K17" s="3"/>
      <c r="L17" s="25">
        <f t="shared" si="5"/>
        <v>0</v>
      </c>
      <c r="M17" s="3"/>
      <c r="N17" s="25"/>
      <c r="O17" s="25"/>
      <c r="P17" s="3"/>
      <c r="Q17" s="25"/>
      <c r="R17" s="25"/>
      <c r="S17" s="29"/>
      <c r="T17" s="29"/>
      <c r="U17" s="29"/>
      <c r="V17" s="29"/>
      <c r="W17" s="29"/>
      <c r="X17" s="4"/>
      <c r="Y17" s="29"/>
      <c r="Z17" s="4"/>
      <c r="AA17" s="28"/>
      <c r="AB17" s="29"/>
      <c r="AC17" s="29"/>
      <c r="AD17" s="29"/>
      <c r="AE17" s="29"/>
      <c r="AF17" s="29"/>
      <c r="AG17" s="29"/>
      <c r="AH17" s="25"/>
      <c r="AI17" s="25"/>
      <c r="AJ17" s="29">
        <v>13000</v>
      </c>
      <c r="AK17" s="25"/>
      <c r="AL17" s="25">
        <f t="shared" si="3"/>
        <v>0</v>
      </c>
      <c r="AM17" s="25">
        <f t="shared" si="4"/>
        <v>0</v>
      </c>
      <c r="AN17" s="4"/>
      <c r="AO17" s="29"/>
      <c r="AP17" s="4"/>
      <c r="AQ17" s="29"/>
      <c r="AR17" s="29"/>
      <c r="AS17" s="29"/>
      <c r="AT17" s="4"/>
      <c r="AV17" s="29"/>
      <c r="AW17" s="29"/>
      <c r="AX17" s="29"/>
      <c r="AY17" s="29"/>
      <c r="AZ17" s="27"/>
      <c r="BA17" s="25"/>
      <c r="BB17" s="29"/>
      <c r="BC17" s="29"/>
      <c r="BD17" s="27"/>
      <c r="BE17" s="25"/>
      <c r="BF17" s="27"/>
      <c r="BG17" s="25"/>
      <c r="BH17" s="25"/>
      <c r="BN17" s="29"/>
    </row>
    <row r="18" spans="1:79" ht="11.25" x14ac:dyDescent="0.15">
      <c r="A18" s="33">
        <v>1130</v>
      </c>
      <c r="B18" s="4" t="s">
        <v>29</v>
      </c>
      <c r="D18" s="3"/>
      <c r="E18" s="3"/>
      <c r="F18" s="3"/>
      <c r="G18" s="3"/>
      <c r="H18" s="3"/>
      <c r="I18" s="3"/>
      <c r="J18" s="3"/>
      <c r="K18" s="3"/>
      <c r="L18" s="25">
        <f t="shared" si="5"/>
        <v>0</v>
      </c>
      <c r="M18" s="3"/>
      <c r="N18" s="25"/>
      <c r="O18" s="25"/>
      <c r="P18" s="3"/>
      <c r="Q18" s="25"/>
      <c r="R18" s="25"/>
      <c r="S18" s="29"/>
      <c r="T18" s="29"/>
      <c r="U18" s="29"/>
      <c r="V18" s="29"/>
      <c r="W18" s="29"/>
      <c r="X18" s="4"/>
      <c r="Y18" s="29"/>
      <c r="Z18" s="4"/>
      <c r="AA18" s="28"/>
      <c r="AB18" s="29"/>
      <c r="AC18" s="29"/>
      <c r="AD18" s="29"/>
      <c r="AE18" s="29"/>
      <c r="AF18" s="29"/>
      <c r="AG18" s="29"/>
      <c r="AH18" s="25"/>
      <c r="AI18" s="25"/>
      <c r="AJ18" s="29"/>
      <c r="AK18" s="25"/>
      <c r="AL18" s="25">
        <f t="shared" si="3"/>
        <v>0</v>
      </c>
      <c r="AM18" s="25">
        <f t="shared" si="4"/>
        <v>0</v>
      </c>
      <c r="AN18" s="4"/>
      <c r="AO18" s="29"/>
      <c r="AP18" s="4"/>
      <c r="AQ18" s="29"/>
      <c r="AR18" s="29"/>
      <c r="AS18" s="29"/>
      <c r="AT18" s="4"/>
      <c r="AV18" s="29"/>
      <c r="AW18" s="29"/>
      <c r="AX18" s="29"/>
      <c r="AY18" s="29"/>
      <c r="AZ18" s="27"/>
      <c r="BA18" s="25"/>
      <c r="BB18" s="29"/>
      <c r="BC18" s="29"/>
      <c r="BD18" s="27"/>
      <c r="BE18" s="25"/>
      <c r="BF18" s="27"/>
      <c r="BG18" s="25"/>
      <c r="BH18" s="25"/>
      <c r="BN18" s="29"/>
    </row>
    <row r="19" spans="1:79" ht="11.25" hidden="1" x14ac:dyDescent="0.15">
      <c r="A19" s="33">
        <v>1210</v>
      </c>
      <c r="B19" s="4" t="s">
        <v>26</v>
      </c>
      <c r="D19" s="3"/>
      <c r="E19" s="3"/>
      <c r="F19" s="3"/>
      <c r="G19" s="3"/>
      <c r="H19" s="3"/>
      <c r="I19" s="3"/>
      <c r="J19" s="3"/>
      <c r="K19" s="3"/>
      <c r="L19" s="25">
        <f t="shared" si="5"/>
        <v>0</v>
      </c>
      <c r="M19" s="3"/>
      <c r="N19" s="25"/>
      <c r="O19" s="25"/>
      <c r="P19" s="3"/>
      <c r="Q19" s="25"/>
      <c r="R19" s="25"/>
      <c r="S19" s="29"/>
      <c r="T19" s="29"/>
      <c r="U19" s="29"/>
      <c r="V19" s="29"/>
      <c r="W19" s="29"/>
      <c r="X19" s="4"/>
      <c r="Y19" s="29"/>
      <c r="Z19" s="4"/>
      <c r="AA19" s="28"/>
      <c r="AB19" s="29"/>
      <c r="AC19" s="29"/>
      <c r="AD19" s="29"/>
      <c r="AE19" s="29"/>
      <c r="AF19" s="29"/>
      <c r="AG19" s="29"/>
      <c r="AH19" s="25"/>
      <c r="AI19" s="25"/>
      <c r="AJ19" s="29"/>
      <c r="AK19" s="25"/>
      <c r="AL19" s="25"/>
      <c r="AM19" s="25"/>
      <c r="AN19" s="4"/>
      <c r="AO19" s="29"/>
      <c r="AP19" s="4"/>
      <c r="AQ19" s="29"/>
      <c r="AR19" s="29"/>
      <c r="AS19" s="29"/>
      <c r="AT19" s="4"/>
      <c r="AV19" s="29"/>
      <c r="AW19" s="29"/>
      <c r="AX19" s="29"/>
      <c r="AY19" s="29"/>
      <c r="AZ19" s="27"/>
      <c r="BA19" s="25"/>
      <c r="BB19" s="29"/>
      <c r="BC19" s="29"/>
      <c r="BD19" s="27"/>
      <c r="BE19" s="25"/>
      <c r="BF19" s="27"/>
      <c r="BG19" s="25"/>
      <c r="BH19" s="25"/>
      <c r="BN19" s="29"/>
    </row>
    <row r="20" spans="1:79" ht="11.25" x14ac:dyDescent="0.15">
      <c r="A20" s="33" t="s">
        <v>30</v>
      </c>
      <c r="B20" s="4" t="s">
        <v>153</v>
      </c>
      <c r="D20" s="3">
        <v>10000</v>
      </c>
      <c r="E20" s="3">
        <v>10000</v>
      </c>
      <c r="F20" s="3">
        <v>10000</v>
      </c>
      <c r="G20" s="3">
        <v>10000</v>
      </c>
      <c r="H20" s="3">
        <v>10000</v>
      </c>
      <c r="I20" s="3">
        <v>10000</v>
      </c>
      <c r="J20" s="3">
        <v>10000</v>
      </c>
      <c r="K20" s="3">
        <v>10245</v>
      </c>
      <c r="L20" s="25">
        <f t="shared" si="5"/>
        <v>-2330</v>
      </c>
      <c r="M20" s="3">
        <f>2600+9975</f>
        <v>12575</v>
      </c>
      <c r="N20" s="25"/>
      <c r="O20" s="25"/>
      <c r="P20" s="3">
        <v>9950</v>
      </c>
      <c r="Q20" s="25"/>
      <c r="R20" s="25"/>
      <c r="S20" s="29"/>
      <c r="T20" s="29"/>
      <c r="U20" s="29"/>
      <c r="V20" s="29"/>
      <c r="W20" s="29"/>
      <c r="X20" s="4"/>
      <c r="Y20" s="29"/>
      <c r="Z20" s="4"/>
      <c r="AA20" s="28"/>
      <c r="AB20" s="29"/>
      <c r="AC20" s="29"/>
      <c r="AD20" s="29"/>
      <c r="AE20" s="29"/>
      <c r="AF20" s="29"/>
      <c r="AG20" s="29"/>
      <c r="AH20" s="25"/>
      <c r="AI20" s="25">
        <v>13500</v>
      </c>
      <c r="AJ20" s="29">
        <v>4500</v>
      </c>
      <c r="AK20" s="25"/>
      <c r="AL20" s="25">
        <f t="shared" si="3"/>
        <v>0</v>
      </c>
      <c r="AM20" s="25">
        <f t="shared" si="4"/>
        <v>-4100</v>
      </c>
      <c r="AN20" s="4"/>
      <c r="AO20" s="29">
        <f>1600+2500</f>
        <v>4100</v>
      </c>
      <c r="AP20" s="4"/>
      <c r="AQ20" s="29"/>
      <c r="AR20" s="29">
        <f>AF20-AI20</f>
        <v>-13500</v>
      </c>
      <c r="AS20" s="29"/>
      <c r="AT20" s="4"/>
      <c r="AV20" s="29">
        <f>4925+3150</f>
        <v>8075</v>
      </c>
      <c r="AW20" s="29">
        <f>3625+3150</f>
        <v>6775</v>
      </c>
      <c r="AX20" s="29">
        <f>3525+3150</f>
        <v>6675</v>
      </c>
      <c r="AY20" s="29"/>
      <c r="AZ20" s="27">
        <f>5750+3150</f>
        <v>8900</v>
      </c>
      <c r="BA20" s="25">
        <f>2725+3150</f>
        <v>5875</v>
      </c>
      <c r="BB20" s="29">
        <f>2600+3150</f>
        <v>5750</v>
      </c>
      <c r="BC20" s="29">
        <f>AV20-AI20</f>
        <v>-5425</v>
      </c>
      <c r="BD20" s="27">
        <f>12684+300</f>
        <v>12984</v>
      </c>
      <c r="BE20" s="25">
        <v>13500</v>
      </c>
      <c r="BF20" s="27">
        <v>13108</v>
      </c>
      <c r="BG20" s="25">
        <v>13500</v>
      </c>
      <c r="BH20" s="25" t="e">
        <f>BH15/AG23*100</f>
        <v>#DIV/0!</v>
      </c>
      <c r="BN20" s="29">
        <v>4500</v>
      </c>
    </row>
    <row r="21" spans="1:79" ht="11.25" x14ac:dyDescent="0.15">
      <c r="A21" s="33"/>
      <c r="B21" s="4" t="s">
        <v>142</v>
      </c>
      <c r="C21" s="4" t="s">
        <v>165</v>
      </c>
      <c r="D21" s="3" t="s">
        <v>141</v>
      </c>
      <c r="E21" s="3">
        <v>100000</v>
      </c>
      <c r="F21" s="3">
        <v>100000</v>
      </c>
      <c r="G21" s="3">
        <v>100000</v>
      </c>
      <c r="H21" s="3">
        <v>100000</v>
      </c>
      <c r="I21" s="3">
        <v>100000</v>
      </c>
      <c r="J21" s="3">
        <v>100000</v>
      </c>
      <c r="K21" s="3">
        <v>99774</v>
      </c>
      <c r="L21" s="25">
        <f t="shared" si="5"/>
        <v>0</v>
      </c>
      <c r="M21" s="3">
        <v>99774</v>
      </c>
      <c r="N21" s="25"/>
      <c r="O21" s="25"/>
      <c r="P21" s="3">
        <v>99774</v>
      </c>
      <c r="Q21" s="25"/>
      <c r="R21" s="25"/>
      <c r="S21" s="29"/>
      <c r="T21" s="29"/>
      <c r="U21" s="29"/>
      <c r="V21" s="29"/>
      <c r="W21" s="29"/>
      <c r="X21" s="4"/>
      <c r="Y21" s="29"/>
      <c r="Z21" s="4"/>
      <c r="AA21" s="28"/>
      <c r="AB21" s="29"/>
      <c r="AC21" s="29"/>
      <c r="AD21" s="29"/>
      <c r="AE21" s="29"/>
      <c r="AF21" s="29"/>
      <c r="AG21" s="29"/>
      <c r="AH21" s="25"/>
      <c r="AI21" s="25"/>
      <c r="AJ21" s="29"/>
      <c r="AK21" s="25"/>
      <c r="AL21" s="25"/>
      <c r="AM21" s="25"/>
      <c r="AN21" s="4"/>
      <c r="AO21" s="29"/>
      <c r="AP21" s="4"/>
      <c r="AQ21" s="29"/>
      <c r="AR21" s="29"/>
      <c r="AS21" s="29"/>
      <c r="AT21" s="4"/>
      <c r="AV21" s="29"/>
      <c r="AW21" s="29"/>
      <c r="AX21" s="29"/>
      <c r="AY21" s="29"/>
      <c r="AZ21" s="27"/>
      <c r="BA21" s="25"/>
      <c r="BB21" s="29"/>
      <c r="BC21" s="29"/>
      <c r="BD21" s="27"/>
      <c r="BE21" s="25"/>
      <c r="BF21" s="27"/>
      <c r="BG21" s="25"/>
      <c r="BH21" s="25"/>
      <c r="BN21" s="29"/>
    </row>
    <row r="22" spans="1:79" ht="11.25" x14ac:dyDescent="0.15">
      <c r="A22" s="33"/>
      <c r="D22" s="3"/>
      <c r="E22" s="3"/>
      <c r="F22" s="3"/>
      <c r="G22" s="3"/>
      <c r="H22" s="3"/>
      <c r="I22" s="3"/>
      <c r="J22" s="3"/>
      <c r="K22" s="3"/>
      <c r="L22" s="25">
        <f t="shared" si="5"/>
        <v>0</v>
      </c>
      <c r="M22" s="3"/>
      <c r="N22" s="25"/>
      <c r="O22" s="25"/>
      <c r="P22" s="3"/>
      <c r="Q22" s="25"/>
      <c r="R22" s="25"/>
      <c r="S22" s="29"/>
      <c r="T22" s="29"/>
      <c r="U22" s="29"/>
      <c r="V22" s="29"/>
      <c r="W22" s="29"/>
      <c r="X22" s="4"/>
      <c r="Y22" s="29"/>
      <c r="Z22" s="4"/>
      <c r="AA22" s="28"/>
      <c r="AB22" s="29"/>
      <c r="AC22" s="29"/>
      <c r="AD22" s="29"/>
      <c r="AE22" s="29"/>
      <c r="AF22" s="29"/>
      <c r="AG22" s="29"/>
      <c r="AH22" s="25"/>
      <c r="AI22" s="25"/>
      <c r="AJ22" s="29"/>
      <c r="AK22" s="25"/>
      <c r="AL22" s="25"/>
      <c r="AM22" s="25"/>
      <c r="AN22" s="4"/>
      <c r="AO22" s="29"/>
      <c r="AP22" s="4"/>
      <c r="AQ22" s="29"/>
      <c r="AR22" s="29"/>
      <c r="AS22" s="29"/>
      <c r="AT22" s="4"/>
      <c r="AV22" s="29"/>
      <c r="AW22" s="29"/>
      <c r="AX22" s="29"/>
      <c r="AY22" s="29"/>
      <c r="AZ22" s="27"/>
      <c r="BA22" s="25"/>
      <c r="BB22" s="29"/>
      <c r="BC22" s="29"/>
      <c r="BD22" s="27"/>
      <c r="BE22" s="25"/>
      <c r="BF22" s="27"/>
      <c r="BG22" s="25"/>
      <c r="BH22" s="25"/>
      <c r="BN22" s="29"/>
    </row>
    <row r="23" spans="1:79" ht="11.25" x14ac:dyDescent="0.15">
      <c r="B23" s="5" t="s">
        <v>32</v>
      </c>
      <c r="C23" s="5"/>
      <c r="D23" s="34">
        <f t="shared" ref="D23" si="10">SUM(D8:D21)</f>
        <v>1397425</v>
      </c>
      <c r="E23" s="34">
        <f t="shared" ref="E23:H23" si="11">SUM(E8:E21)</f>
        <v>1497425</v>
      </c>
      <c r="F23" s="34">
        <f t="shared" si="11"/>
        <v>1844540</v>
      </c>
      <c r="G23" s="34">
        <f t="shared" si="11"/>
        <v>1844540</v>
      </c>
      <c r="H23" s="34">
        <f t="shared" si="11"/>
        <v>1475300</v>
      </c>
      <c r="I23" s="34">
        <f>SUM(I8:I21)</f>
        <v>1497425</v>
      </c>
      <c r="J23" s="34">
        <f>SUM(J8:J21)</f>
        <v>1497425</v>
      </c>
      <c r="K23" s="34">
        <f>SUM(K8:K21)</f>
        <v>1455760</v>
      </c>
      <c r="L23" s="25">
        <f t="shared" si="5"/>
        <v>232411</v>
      </c>
      <c r="M23" s="34">
        <f>SUM(M8:M21)</f>
        <v>1223349</v>
      </c>
      <c r="N23" s="35"/>
      <c r="O23" s="35"/>
      <c r="P23" s="34">
        <f>SUM(P8:P21)</f>
        <v>1479172</v>
      </c>
      <c r="Q23" s="35"/>
      <c r="R23" s="35"/>
      <c r="S23" s="36"/>
      <c r="T23" s="36"/>
      <c r="U23" s="36"/>
      <c r="V23" s="36"/>
      <c r="W23" s="36"/>
      <c r="X23" s="4"/>
      <c r="Y23" s="36"/>
      <c r="Z23" s="4"/>
      <c r="AA23" s="28"/>
      <c r="AB23" s="36"/>
      <c r="AC23" s="36"/>
      <c r="AD23" s="36"/>
      <c r="AE23" s="36"/>
      <c r="AF23" s="36"/>
      <c r="AG23" s="36"/>
      <c r="AH23" s="35"/>
      <c r="AI23" s="35">
        <f>SUM(AI8:AI20)</f>
        <v>770200</v>
      </c>
      <c r="AJ23" s="36">
        <f>SUM(AJ8:AJ20)</f>
        <v>889600</v>
      </c>
      <c r="AK23" s="35"/>
      <c r="AL23" s="25">
        <f t="shared" si="3"/>
        <v>0</v>
      </c>
      <c r="AM23" s="25">
        <f t="shared" si="4"/>
        <v>-828833</v>
      </c>
      <c r="AN23" s="4"/>
      <c r="AO23" s="36">
        <f>SUM(AO8:AO20)</f>
        <v>828833</v>
      </c>
      <c r="AP23" s="4"/>
      <c r="AQ23" s="36">
        <f>SUM(AQ8:AQ20)</f>
        <v>35050</v>
      </c>
      <c r="AR23" s="36">
        <f>SUM(AR8:AR20)</f>
        <v>-770200</v>
      </c>
      <c r="AS23" s="36"/>
      <c r="AT23" s="4"/>
      <c r="AV23" s="36">
        <f t="shared" ref="AV23:BG23" si="12">SUM(AV8:AV20)</f>
        <v>783130</v>
      </c>
      <c r="AW23" s="36">
        <f t="shared" si="12"/>
        <v>778530</v>
      </c>
      <c r="AX23" s="36">
        <f t="shared" si="12"/>
        <v>778430</v>
      </c>
      <c r="AY23" s="36"/>
      <c r="AZ23" s="37">
        <f>SUM(AZ8:AZ20)</f>
        <v>778565</v>
      </c>
      <c r="BA23" s="35">
        <f t="shared" si="12"/>
        <v>775076</v>
      </c>
      <c r="BB23" s="36">
        <f t="shared" si="12"/>
        <v>774951</v>
      </c>
      <c r="BC23" s="29">
        <f t="shared" si="12"/>
        <v>12930</v>
      </c>
      <c r="BD23" s="37">
        <f t="shared" si="12"/>
        <v>806357</v>
      </c>
      <c r="BE23" s="35">
        <f t="shared" si="12"/>
        <v>773100</v>
      </c>
      <c r="BF23" s="37">
        <f t="shared" si="12"/>
        <v>781514</v>
      </c>
      <c r="BG23" s="35">
        <f t="shared" si="12"/>
        <v>766100</v>
      </c>
      <c r="BH23" s="35"/>
      <c r="BN23" s="36">
        <f>SUM(BN8:BN20)</f>
        <v>5177</v>
      </c>
      <c r="CA23" s="25"/>
    </row>
    <row r="24" spans="1:79" ht="11.25" x14ac:dyDescent="0.15">
      <c r="B24" s="5" t="s">
        <v>33</v>
      </c>
      <c r="C24" s="5"/>
      <c r="D24" s="3"/>
      <c r="E24" s="3"/>
      <c r="F24" s="3"/>
      <c r="G24" s="3"/>
      <c r="H24" s="3"/>
      <c r="I24" s="3"/>
      <c r="J24" s="3"/>
      <c r="K24" s="3"/>
      <c r="L24" s="25"/>
      <c r="M24" s="3"/>
      <c r="P24" s="3"/>
      <c r="S24" s="32"/>
      <c r="T24" s="29"/>
      <c r="U24" s="32"/>
      <c r="V24" s="32"/>
      <c r="W24" s="32"/>
      <c r="X24" s="4"/>
      <c r="Y24" s="29"/>
      <c r="Z24" s="4"/>
      <c r="AA24" s="28"/>
      <c r="AB24" s="32"/>
      <c r="AC24" s="32"/>
      <c r="AD24" s="32"/>
      <c r="AE24" s="32"/>
      <c r="AF24" s="32"/>
      <c r="AG24" s="32"/>
      <c r="AM24" s="25">
        <f t="shared" si="4"/>
        <v>0</v>
      </c>
      <c r="AN24" s="4"/>
      <c r="AO24" s="32"/>
      <c r="AP24" s="4"/>
      <c r="AQ24" s="32"/>
      <c r="AR24" s="32"/>
      <c r="AS24" s="32"/>
      <c r="AT24" s="4"/>
      <c r="AV24" s="32"/>
      <c r="AW24" s="29"/>
      <c r="AX24" s="32"/>
      <c r="AY24" s="32"/>
      <c r="AZ24" s="27">
        <f>AW24+AY24</f>
        <v>0</v>
      </c>
      <c r="BB24" s="32"/>
      <c r="BC24" s="32"/>
      <c r="BD24" s="37"/>
      <c r="BF24" s="27"/>
      <c r="BH24" s="4">
        <v>2020</v>
      </c>
      <c r="BN24" s="32"/>
    </row>
    <row r="25" spans="1:79" ht="11.25" x14ac:dyDescent="0.15">
      <c r="A25" s="33" t="s">
        <v>34</v>
      </c>
      <c r="B25" s="4" t="s">
        <v>35</v>
      </c>
      <c r="D25" s="3">
        <v>80000</v>
      </c>
      <c r="E25" s="3">
        <v>80000</v>
      </c>
      <c r="F25" s="3">
        <v>100000</v>
      </c>
      <c r="G25" s="3">
        <v>150000</v>
      </c>
      <c r="H25" s="3">
        <v>75000</v>
      </c>
      <c r="I25" s="3">
        <v>70000</v>
      </c>
      <c r="J25" s="3">
        <v>70000</v>
      </c>
      <c r="K25" s="3">
        <v>129089</v>
      </c>
      <c r="L25" s="25">
        <f t="shared" si="5"/>
        <v>80843</v>
      </c>
      <c r="M25" s="3">
        <f>12239+9593+26414</f>
        <v>48246</v>
      </c>
      <c r="N25" s="25"/>
      <c r="O25" s="25"/>
      <c r="P25" s="3">
        <v>129284</v>
      </c>
      <c r="Q25" s="25"/>
      <c r="R25" s="25"/>
      <c r="S25" s="29"/>
      <c r="T25" s="29"/>
      <c r="U25" s="29"/>
      <c r="V25" s="29"/>
      <c r="W25" s="29"/>
      <c r="X25" s="4"/>
      <c r="Y25" s="29"/>
      <c r="Z25" s="4"/>
      <c r="AA25" s="28"/>
      <c r="AB25" s="29"/>
      <c r="AC25" s="29"/>
      <c r="AD25" s="29"/>
      <c r="AE25" s="29"/>
      <c r="AF25" s="29"/>
      <c r="AG25" s="29"/>
      <c r="AH25" s="25"/>
      <c r="AI25" s="25">
        <v>60000</v>
      </c>
      <c r="AJ25" s="29">
        <v>170000</v>
      </c>
      <c r="AK25" s="25"/>
      <c r="AL25" s="25">
        <f t="shared" ref="AL25:AL88" si="13">AF25-AB25</f>
        <v>0</v>
      </c>
      <c r="AM25" s="25">
        <f t="shared" si="4"/>
        <v>-20684</v>
      </c>
      <c r="AN25" s="4"/>
      <c r="AO25" s="29">
        <f>7548+12992+144</f>
        <v>20684</v>
      </c>
      <c r="AP25" s="4"/>
      <c r="AQ25" s="29"/>
      <c r="AR25" s="29">
        <f t="shared" ref="AR25:AR34" si="14">AF25-AI25</f>
        <v>-60000</v>
      </c>
      <c r="AS25" s="29"/>
      <c r="AT25" s="4"/>
      <c r="AV25" s="29">
        <f>15336+6194+32989+75039</f>
        <v>129558</v>
      </c>
      <c r="AW25" s="29">
        <f>14586+3869+25763+11136</f>
        <v>55354</v>
      </c>
      <c r="AX25" s="29">
        <f>14586+3869+20692+11136</f>
        <v>50283</v>
      </c>
      <c r="AY25" s="29">
        <f>1962+54003</f>
        <v>55965</v>
      </c>
      <c r="AZ25" s="27">
        <f>15336+6194+32989+75039</f>
        <v>129558</v>
      </c>
      <c r="BA25" s="25">
        <f>14586+3869+20692+5370</f>
        <v>44517</v>
      </c>
      <c r="BB25" s="29">
        <f>3500+3869+17445+5250</f>
        <v>30064</v>
      </c>
      <c r="BC25" s="29">
        <f>AI25-AV25</f>
        <v>-69558</v>
      </c>
      <c r="BD25" s="27">
        <f>109876+11059+6087+18518+1</f>
        <v>145541</v>
      </c>
      <c r="BE25" s="25">
        <v>60000</v>
      </c>
      <c r="BF25" s="27">
        <v>127030</v>
      </c>
      <c r="BG25" s="25">
        <v>60000</v>
      </c>
      <c r="BH25" s="25" t="s">
        <v>36</v>
      </c>
      <c r="BN25" s="29">
        <v>70000</v>
      </c>
      <c r="CA25" s="25"/>
    </row>
    <row r="26" spans="1:79" ht="11.25" x14ac:dyDescent="0.15">
      <c r="A26" s="33"/>
      <c r="B26" s="4" t="s">
        <v>37</v>
      </c>
      <c r="D26" s="3">
        <v>481400</v>
      </c>
      <c r="E26" s="3">
        <v>481400</v>
      </c>
      <c r="F26" s="3">
        <v>485000</v>
      </c>
      <c r="G26" s="3">
        <v>485000</v>
      </c>
      <c r="H26" s="3">
        <v>485000</v>
      </c>
      <c r="I26" s="3">
        <v>481400</v>
      </c>
      <c r="J26" s="3">
        <v>481500</v>
      </c>
      <c r="K26" s="3">
        <v>382079</v>
      </c>
      <c r="L26" s="25">
        <f t="shared" si="5"/>
        <v>272079</v>
      </c>
      <c r="M26" s="3">
        <f>54600+55400</f>
        <v>110000</v>
      </c>
      <c r="N26" s="25"/>
      <c r="O26" s="25"/>
      <c r="P26" s="3">
        <v>317657</v>
      </c>
      <c r="Q26" s="25"/>
      <c r="R26" s="25"/>
      <c r="S26" s="29"/>
      <c r="T26" s="29"/>
      <c r="U26" s="29"/>
      <c r="V26" s="29"/>
      <c r="W26" s="29"/>
      <c r="X26" s="4"/>
      <c r="Y26" s="29"/>
      <c r="Z26" s="4"/>
      <c r="AA26" s="28"/>
      <c r="AB26" s="29"/>
      <c r="AC26" s="29"/>
      <c r="AD26" s="29"/>
      <c r="AE26" s="29"/>
      <c r="AF26" s="29"/>
      <c r="AG26" s="29"/>
      <c r="AH26" s="25"/>
      <c r="AI26" s="25"/>
      <c r="AJ26" s="29"/>
      <c r="AK26" s="25"/>
      <c r="AL26" s="25"/>
      <c r="AM26" s="25"/>
      <c r="AN26" s="4"/>
      <c r="AO26" s="29"/>
      <c r="AP26" s="4"/>
      <c r="AQ26" s="29"/>
      <c r="AR26" s="29"/>
      <c r="AS26" s="29"/>
      <c r="AT26" s="4"/>
      <c r="AV26" s="29"/>
      <c r="AW26" s="29"/>
      <c r="AX26" s="29"/>
      <c r="AY26" s="29"/>
      <c r="AZ26" s="27"/>
      <c r="BA26" s="25"/>
      <c r="BB26" s="29"/>
      <c r="BC26" s="29"/>
      <c r="BD26" s="27"/>
      <c r="BE26" s="25"/>
      <c r="BF26" s="27"/>
      <c r="BG26" s="25"/>
      <c r="BH26" s="25"/>
      <c r="BN26" s="29"/>
    </row>
    <row r="27" spans="1:79" ht="11.25" x14ac:dyDescent="0.15">
      <c r="A27" s="4">
        <v>2020</v>
      </c>
      <c r="B27" s="4" t="s">
        <v>38</v>
      </c>
      <c r="D27" s="3">
        <v>50000</v>
      </c>
      <c r="E27" s="3">
        <v>50000</v>
      </c>
      <c r="F27" s="3">
        <v>50000</v>
      </c>
      <c r="G27" s="3">
        <v>50000</v>
      </c>
      <c r="H27" s="3">
        <v>50000</v>
      </c>
      <c r="I27" s="3">
        <v>50000</v>
      </c>
      <c r="J27" s="3">
        <v>50000</v>
      </c>
      <c r="K27" s="3">
        <v>16439</v>
      </c>
      <c r="L27" s="25">
        <f t="shared" si="5"/>
        <v>-13475</v>
      </c>
      <c r="M27" s="3">
        <f>30850-936</f>
        <v>29914</v>
      </c>
      <c r="N27" s="25"/>
      <c r="O27" s="25"/>
      <c r="P27" s="3">
        <v>12000</v>
      </c>
      <c r="Q27" s="25"/>
      <c r="R27" s="25"/>
      <c r="S27" s="29"/>
      <c r="T27" s="29"/>
      <c r="U27" s="29"/>
      <c r="V27" s="29"/>
      <c r="W27" s="29"/>
      <c r="X27" s="4"/>
      <c r="Y27" s="29"/>
      <c r="Z27" s="4"/>
      <c r="AA27" s="28"/>
      <c r="AB27" s="29"/>
      <c r="AC27" s="29"/>
      <c r="AD27" s="29"/>
      <c r="AE27" s="29"/>
      <c r="AF27" s="29"/>
      <c r="AG27" s="29"/>
      <c r="AH27" s="25"/>
      <c r="AI27" s="25">
        <v>20000</v>
      </c>
      <c r="AJ27" s="29">
        <v>20000</v>
      </c>
      <c r="AK27" s="25"/>
      <c r="AL27" s="25">
        <f t="shared" si="13"/>
        <v>0</v>
      </c>
      <c r="AM27" s="25">
        <f t="shared" si="4"/>
        <v>-4114</v>
      </c>
      <c r="AN27" s="4"/>
      <c r="AO27" s="29">
        <f>8865-4751</f>
        <v>4114</v>
      </c>
      <c r="AP27" s="4"/>
      <c r="AQ27" s="29"/>
      <c r="AR27" s="29">
        <f t="shared" si="14"/>
        <v>-20000</v>
      </c>
      <c r="AS27" s="29"/>
      <c r="AT27" s="4"/>
      <c r="AV27" s="29">
        <v>22229</v>
      </c>
      <c r="AW27" s="29">
        <v>19582</v>
      </c>
      <c r="AX27" s="29">
        <v>19582</v>
      </c>
      <c r="AY27" s="29">
        <v>2000</v>
      </c>
      <c r="AZ27" s="27">
        <v>22229</v>
      </c>
      <c r="BA27" s="25">
        <v>11246</v>
      </c>
      <c r="BB27" s="29">
        <v>7552</v>
      </c>
      <c r="BC27" s="29">
        <f t="shared" ref="BC27:BC34" si="15">AV27-AZ27</f>
        <v>0</v>
      </c>
      <c r="BD27" s="27">
        <v>20414</v>
      </c>
      <c r="BE27" s="25">
        <v>25000</v>
      </c>
      <c r="BF27" s="27">
        <v>20098</v>
      </c>
      <c r="BG27" s="25">
        <v>25000</v>
      </c>
      <c r="BH27" s="25" t="s">
        <v>39</v>
      </c>
      <c r="BN27" s="29">
        <v>20000</v>
      </c>
      <c r="CA27" s="25"/>
    </row>
    <row r="28" spans="1:79" ht="11.25" x14ac:dyDescent="0.15">
      <c r="A28" s="4" t="s">
        <v>40</v>
      </c>
      <c r="B28" s="4" t="s">
        <v>41</v>
      </c>
      <c r="D28" s="3">
        <v>90000</v>
      </c>
      <c r="E28" s="3">
        <v>90000</v>
      </c>
      <c r="F28" s="3">
        <v>120000</v>
      </c>
      <c r="G28" s="3">
        <v>120000</v>
      </c>
      <c r="H28" s="3">
        <v>90000</v>
      </c>
      <c r="I28" s="3">
        <v>90000</v>
      </c>
      <c r="J28" s="3">
        <v>90000</v>
      </c>
      <c r="K28" s="3">
        <v>91873</v>
      </c>
      <c r="L28" s="25">
        <f t="shared" si="5"/>
        <v>9566</v>
      </c>
      <c r="M28" s="3">
        <v>82307</v>
      </c>
      <c r="N28" s="25"/>
      <c r="O28" s="25"/>
      <c r="P28" s="3">
        <v>70000</v>
      </c>
      <c r="Q28" s="25"/>
      <c r="R28" s="25"/>
      <c r="S28" s="29"/>
      <c r="T28" s="29"/>
      <c r="U28" s="29"/>
      <c r="V28" s="29"/>
      <c r="W28" s="29"/>
      <c r="X28" s="4"/>
      <c r="Y28" s="29"/>
      <c r="Z28" s="4"/>
      <c r="AA28" s="28"/>
      <c r="AB28" s="29"/>
      <c r="AC28" s="29"/>
      <c r="AD28" s="29"/>
      <c r="AE28" s="29"/>
      <c r="AF28" s="29"/>
      <c r="AG28" s="29"/>
      <c r="AH28" s="25"/>
      <c r="AI28" s="25">
        <v>40000</v>
      </c>
      <c r="AJ28" s="29">
        <v>50000</v>
      </c>
      <c r="AK28" s="25"/>
      <c r="AL28" s="25">
        <f t="shared" si="13"/>
        <v>0</v>
      </c>
      <c r="AM28" s="25">
        <f t="shared" si="4"/>
        <v>-20115</v>
      </c>
      <c r="AN28" s="4"/>
      <c r="AO28" s="29">
        <f>15011+5104</f>
        <v>20115</v>
      </c>
      <c r="AP28" s="4"/>
      <c r="AQ28" s="29">
        <v>40000</v>
      </c>
      <c r="AR28" s="29">
        <f t="shared" si="14"/>
        <v>-40000</v>
      </c>
      <c r="AS28" s="29"/>
      <c r="AT28" s="4"/>
      <c r="AV28" s="29">
        <f>31698+16197</f>
        <v>47895</v>
      </c>
      <c r="AW28" s="29">
        <f>21019+15033</f>
        <v>36052</v>
      </c>
      <c r="AX28" s="29">
        <f>19169+15033</f>
        <v>34202</v>
      </c>
      <c r="AY28" s="29">
        <v>10000</v>
      </c>
      <c r="AZ28" s="27">
        <f>31698+16197</f>
        <v>47895</v>
      </c>
      <c r="BA28" s="25">
        <f>16642+15033</f>
        <v>31675</v>
      </c>
      <c r="BB28" s="29">
        <f>10623+12934</f>
        <v>23557</v>
      </c>
      <c r="BC28" s="29">
        <f t="shared" si="15"/>
        <v>0</v>
      </c>
      <c r="BD28" s="27">
        <f>28508+5598</f>
        <v>34106</v>
      </c>
      <c r="BE28" s="25">
        <v>32000</v>
      </c>
      <c r="BF28" s="27">
        <v>23273</v>
      </c>
      <c r="BG28" s="25">
        <v>22000</v>
      </c>
      <c r="BH28" s="25" t="s">
        <v>42</v>
      </c>
      <c r="BN28" s="29">
        <v>120000</v>
      </c>
    </row>
    <row r="29" spans="1:79" ht="11.25" x14ac:dyDescent="0.15">
      <c r="A29" s="4">
        <v>2035</v>
      </c>
      <c r="B29" s="4" t="s">
        <v>43</v>
      </c>
      <c r="D29" s="3">
        <v>3000</v>
      </c>
      <c r="E29" s="3">
        <v>3000</v>
      </c>
      <c r="F29" s="3">
        <v>3000</v>
      </c>
      <c r="G29" s="3">
        <v>3000</v>
      </c>
      <c r="H29" s="3">
        <v>3000</v>
      </c>
      <c r="I29" s="3">
        <v>3000</v>
      </c>
      <c r="J29" s="3">
        <v>3000</v>
      </c>
      <c r="K29" s="3">
        <v>3000</v>
      </c>
      <c r="L29" s="25">
        <f t="shared" si="5"/>
        <v>0</v>
      </c>
      <c r="M29" s="3">
        <v>3000</v>
      </c>
      <c r="N29" s="25"/>
      <c r="O29" s="25"/>
      <c r="P29" s="3">
        <v>3000</v>
      </c>
      <c r="Q29" s="25"/>
      <c r="R29" s="25"/>
      <c r="S29" s="29"/>
      <c r="T29" s="29"/>
      <c r="U29" s="29"/>
      <c r="V29" s="29"/>
      <c r="W29" s="29"/>
      <c r="X29" s="4"/>
      <c r="Y29" s="29"/>
      <c r="Z29" s="4"/>
      <c r="AA29" s="28"/>
      <c r="AB29" s="29"/>
      <c r="AC29" s="29"/>
      <c r="AD29" s="29"/>
      <c r="AE29" s="29"/>
      <c r="AF29" s="29"/>
      <c r="AG29" s="29"/>
      <c r="AH29" s="25"/>
      <c r="AI29" s="25">
        <v>3000</v>
      </c>
      <c r="AJ29" s="29">
        <v>3000</v>
      </c>
      <c r="AK29" s="25"/>
      <c r="AL29" s="25">
        <f t="shared" si="13"/>
        <v>0</v>
      </c>
      <c r="AM29" s="25">
        <f t="shared" si="4"/>
        <v>-3000</v>
      </c>
      <c r="AN29" s="4"/>
      <c r="AO29" s="29">
        <v>3000</v>
      </c>
      <c r="AP29" s="4"/>
      <c r="AQ29" s="29"/>
      <c r="AR29" s="29">
        <f t="shared" si="14"/>
        <v>-3000</v>
      </c>
      <c r="AS29" s="29"/>
      <c r="AT29" s="4"/>
      <c r="AV29" s="29">
        <v>3000</v>
      </c>
      <c r="AW29" s="29">
        <v>3000</v>
      </c>
      <c r="AX29" s="29">
        <v>3000</v>
      </c>
      <c r="AY29" s="29"/>
      <c r="AZ29" s="27">
        <f>AW29+AY29</f>
        <v>3000</v>
      </c>
      <c r="BA29" s="25">
        <v>3000</v>
      </c>
      <c r="BB29" s="29">
        <v>3000</v>
      </c>
      <c r="BC29" s="29">
        <f t="shared" si="15"/>
        <v>0</v>
      </c>
      <c r="BD29" s="27">
        <v>3000</v>
      </c>
      <c r="BE29" s="25">
        <v>3000</v>
      </c>
      <c r="BF29" s="27">
        <v>3000</v>
      </c>
      <c r="BG29" s="25">
        <v>3300</v>
      </c>
      <c r="BH29" s="25" t="s">
        <v>44</v>
      </c>
      <c r="BJ29" s="4" t="s">
        <v>45</v>
      </c>
      <c r="BN29" s="29">
        <v>3000</v>
      </c>
    </row>
    <row r="30" spans="1:79" ht="11.25" x14ac:dyDescent="0.15">
      <c r="A30" s="4">
        <v>2036</v>
      </c>
      <c r="B30" s="4" t="s">
        <v>46</v>
      </c>
      <c r="D30" s="3">
        <v>1000</v>
      </c>
      <c r="E30" s="3">
        <v>1000</v>
      </c>
      <c r="F30" s="3">
        <v>1000</v>
      </c>
      <c r="G30" s="3">
        <v>1000</v>
      </c>
      <c r="H30" s="3">
        <v>1000</v>
      </c>
      <c r="I30" s="3">
        <v>1000</v>
      </c>
      <c r="J30" s="3">
        <v>1000</v>
      </c>
      <c r="K30" s="3">
        <v>1100</v>
      </c>
      <c r="L30" s="25">
        <f t="shared" si="5"/>
        <v>200</v>
      </c>
      <c r="M30" s="3">
        <v>900</v>
      </c>
      <c r="N30" s="25"/>
      <c r="O30" s="25"/>
      <c r="P30" s="3">
        <v>1100</v>
      </c>
      <c r="Q30" s="25"/>
      <c r="R30" s="25"/>
      <c r="S30" s="29"/>
      <c r="T30" s="29"/>
      <c r="U30" s="29"/>
      <c r="V30" s="29"/>
      <c r="W30" s="29"/>
      <c r="X30" s="4"/>
      <c r="Y30" s="29"/>
      <c r="Z30" s="4"/>
      <c r="AA30" s="28"/>
      <c r="AB30" s="29"/>
      <c r="AC30" s="29"/>
      <c r="AD30" s="29"/>
      <c r="AE30" s="29"/>
      <c r="AF30" s="29"/>
      <c r="AG30" s="29"/>
      <c r="AH30" s="25"/>
      <c r="AI30" s="25">
        <v>1000</v>
      </c>
      <c r="AJ30" s="29">
        <v>1000</v>
      </c>
      <c r="AK30" s="25"/>
      <c r="AL30" s="25">
        <f t="shared" si="13"/>
        <v>0</v>
      </c>
      <c r="AM30" s="25">
        <f t="shared" si="4"/>
        <v>-1000</v>
      </c>
      <c r="AN30" s="4"/>
      <c r="AO30" s="29">
        <v>1000</v>
      </c>
      <c r="AP30" s="4"/>
      <c r="AQ30" s="29"/>
      <c r="AR30" s="29">
        <f t="shared" si="14"/>
        <v>-1000</v>
      </c>
      <c r="AS30" s="29"/>
      <c r="AT30" s="4"/>
      <c r="AV30" s="29">
        <v>1000</v>
      </c>
      <c r="AW30" s="29">
        <v>1000</v>
      </c>
      <c r="AX30" s="29">
        <v>1000</v>
      </c>
      <c r="AY30" s="29"/>
      <c r="AZ30" s="27">
        <f>AW30+AY30</f>
        <v>1000</v>
      </c>
      <c r="BA30" s="25">
        <v>1000</v>
      </c>
      <c r="BB30" s="29">
        <v>1000</v>
      </c>
      <c r="BC30" s="29">
        <f t="shared" si="15"/>
        <v>0</v>
      </c>
      <c r="BD30" s="27">
        <v>1000</v>
      </c>
      <c r="BE30" s="25">
        <v>1000</v>
      </c>
      <c r="BF30" s="27">
        <v>1000</v>
      </c>
      <c r="BG30" s="25">
        <v>1000</v>
      </c>
      <c r="BH30" s="25" t="s">
        <v>47</v>
      </c>
      <c r="BN30" s="29">
        <v>1000</v>
      </c>
    </row>
    <row r="31" spans="1:79" ht="11.25" x14ac:dyDescent="0.15">
      <c r="B31" s="4" t="s">
        <v>48</v>
      </c>
      <c r="D31" s="3">
        <v>5000</v>
      </c>
      <c r="E31" s="3">
        <v>5000</v>
      </c>
      <c r="F31" s="3">
        <v>5000</v>
      </c>
      <c r="G31" s="3">
        <v>5000</v>
      </c>
      <c r="H31" s="3">
        <v>5000</v>
      </c>
      <c r="I31" s="3">
        <v>5000</v>
      </c>
      <c r="J31" s="3">
        <v>5000</v>
      </c>
      <c r="K31" s="3">
        <v>4028</v>
      </c>
      <c r="L31" s="25">
        <f t="shared" si="5"/>
        <v>4028</v>
      </c>
      <c r="M31" s="3">
        <v>0</v>
      </c>
      <c r="N31" s="25"/>
      <c r="O31" s="25"/>
      <c r="P31" s="3">
        <v>0</v>
      </c>
      <c r="Q31" s="25"/>
      <c r="R31" s="25"/>
      <c r="S31" s="29"/>
      <c r="T31" s="29"/>
      <c r="U31" s="29"/>
      <c r="V31" s="29"/>
      <c r="W31" s="29"/>
      <c r="X31" s="4"/>
      <c r="Y31" s="29"/>
      <c r="Z31" s="4"/>
      <c r="AA31" s="28"/>
      <c r="AB31" s="29"/>
      <c r="AC31" s="29"/>
      <c r="AD31" s="29"/>
      <c r="AE31" s="29"/>
      <c r="AF31" s="29"/>
      <c r="AG31" s="29"/>
      <c r="AH31" s="25"/>
      <c r="AI31" s="25">
        <v>1100</v>
      </c>
      <c r="AJ31" s="29">
        <v>1100</v>
      </c>
      <c r="AK31" s="25"/>
      <c r="AL31" s="25">
        <f t="shared" si="13"/>
        <v>0</v>
      </c>
      <c r="AM31" s="25">
        <f t="shared" si="4"/>
        <v>0</v>
      </c>
      <c r="AN31" s="4"/>
      <c r="AO31" s="29"/>
      <c r="AP31" s="4"/>
      <c r="AQ31" s="29"/>
      <c r="AR31" s="29">
        <f t="shared" si="14"/>
        <v>-1100</v>
      </c>
      <c r="AS31" s="29"/>
      <c r="AT31" s="4"/>
      <c r="AV31" s="29">
        <v>940</v>
      </c>
      <c r="AW31" s="29"/>
      <c r="AX31" s="29"/>
      <c r="AY31" s="29">
        <v>1100</v>
      </c>
      <c r="AZ31" s="27">
        <v>940</v>
      </c>
      <c r="BA31" s="25"/>
      <c r="BB31" s="29"/>
      <c r="BC31" s="29">
        <f t="shared" si="15"/>
        <v>0</v>
      </c>
      <c r="BD31" s="27">
        <v>930</v>
      </c>
      <c r="BE31" s="25">
        <v>900</v>
      </c>
      <c r="BF31" s="27">
        <v>1024</v>
      </c>
      <c r="BG31" s="25">
        <v>900</v>
      </c>
      <c r="BH31" s="25" t="s">
        <v>49</v>
      </c>
      <c r="BJ31" s="4" t="s">
        <v>50</v>
      </c>
      <c r="BN31" s="29">
        <v>1100</v>
      </c>
    </row>
    <row r="32" spans="1:79" ht="11.25" x14ac:dyDescent="0.15">
      <c r="A32" s="4">
        <v>2038</v>
      </c>
      <c r="B32" s="4" t="s">
        <v>51</v>
      </c>
      <c r="D32" s="3"/>
      <c r="E32" s="3"/>
      <c r="F32" s="3"/>
      <c r="G32" s="3"/>
      <c r="H32" s="3"/>
      <c r="I32" s="3"/>
      <c r="J32" s="3"/>
      <c r="K32" s="3"/>
      <c r="L32" s="25">
        <f t="shared" si="5"/>
        <v>0</v>
      </c>
      <c r="M32" s="3"/>
      <c r="N32" s="25"/>
      <c r="O32" s="25"/>
      <c r="P32" s="3"/>
      <c r="Q32" s="25"/>
      <c r="R32" s="25"/>
      <c r="S32" s="29"/>
      <c r="T32" s="29"/>
      <c r="U32" s="29"/>
      <c r="V32" s="29"/>
      <c r="W32" s="29"/>
      <c r="X32" s="4"/>
      <c r="Y32" s="29"/>
      <c r="Z32" s="4"/>
      <c r="AA32" s="28"/>
      <c r="AB32" s="29"/>
      <c r="AC32" s="29"/>
      <c r="AD32" s="29"/>
      <c r="AE32" s="29"/>
      <c r="AF32" s="29"/>
      <c r="AG32" s="29"/>
      <c r="AH32" s="25"/>
      <c r="AI32" s="25"/>
      <c r="AJ32" s="29">
        <f>AQ32+AR32</f>
        <v>0</v>
      </c>
      <c r="AK32" s="25"/>
      <c r="AL32" s="25">
        <f t="shared" si="13"/>
        <v>0</v>
      </c>
      <c r="AM32" s="25">
        <f t="shared" si="4"/>
        <v>0</v>
      </c>
      <c r="AN32" s="4"/>
      <c r="AO32" s="29"/>
      <c r="AP32" s="4"/>
      <c r="AQ32" s="29"/>
      <c r="AR32" s="29">
        <f t="shared" si="14"/>
        <v>0</v>
      </c>
      <c r="AS32" s="29"/>
      <c r="AT32" s="4"/>
      <c r="AV32" s="29"/>
      <c r="AW32" s="29"/>
      <c r="AX32" s="29"/>
      <c r="AY32" s="29"/>
      <c r="AZ32" s="27">
        <f>AW32+AY32</f>
        <v>0</v>
      </c>
      <c r="BA32" s="25"/>
      <c r="BB32" s="29"/>
      <c r="BC32" s="29">
        <f t="shared" si="15"/>
        <v>0</v>
      </c>
      <c r="BD32" s="27">
        <v>15852</v>
      </c>
      <c r="BE32" s="25"/>
      <c r="BF32" s="27"/>
      <c r="BG32" s="25"/>
      <c r="BH32" s="25"/>
      <c r="BN32" s="29">
        <f t="shared" ref="BN32:BN44" si="16">BL32+BM32</f>
        <v>0</v>
      </c>
    </row>
    <row r="33" spans="1:66" ht="11.25" x14ac:dyDescent="0.15">
      <c r="A33" s="4">
        <v>2040</v>
      </c>
      <c r="B33" s="4" t="s">
        <v>52</v>
      </c>
      <c r="D33" s="3"/>
      <c r="E33" s="3"/>
      <c r="F33" s="3"/>
      <c r="G33" s="3"/>
      <c r="H33" s="3"/>
      <c r="I33" s="3"/>
      <c r="J33" s="3"/>
      <c r="K33" s="3">
        <v>484</v>
      </c>
      <c r="L33" s="25">
        <f t="shared" si="5"/>
        <v>-339</v>
      </c>
      <c r="M33" s="3">
        <v>823</v>
      </c>
      <c r="N33" s="25"/>
      <c r="O33" s="25"/>
      <c r="P33" s="3">
        <v>484</v>
      </c>
      <c r="Q33" s="25"/>
      <c r="R33" s="25"/>
      <c r="S33" s="29"/>
      <c r="T33" s="29"/>
      <c r="U33" s="29"/>
      <c r="V33" s="29"/>
      <c r="W33" s="29"/>
      <c r="X33" s="4"/>
      <c r="Y33" s="29"/>
      <c r="Z33" s="4"/>
      <c r="AA33" s="28"/>
      <c r="AB33" s="29"/>
      <c r="AC33" s="29"/>
      <c r="AD33" s="29"/>
      <c r="AE33" s="29"/>
      <c r="AF33" s="29"/>
      <c r="AG33" s="29"/>
      <c r="AH33" s="25"/>
      <c r="AI33" s="25">
        <v>7000</v>
      </c>
      <c r="AJ33" s="29">
        <v>0</v>
      </c>
      <c r="AK33" s="25"/>
      <c r="AL33" s="25">
        <f t="shared" si="13"/>
        <v>0</v>
      </c>
      <c r="AM33" s="25">
        <f t="shared" si="4"/>
        <v>0</v>
      </c>
      <c r="AN33" s="4"/>
      <c r="AO33" s="29"/>
      <c r="AP33" s="4"/>
      <c r="AQ33" s="29"/>
      <c r="AR33" s="29">
        <f t="shared" si="14"/>
        <v>-7000</v>
      </c>
      <c r="AS33" s="29"/>
      <c r="AT33" s="4"/>
      <c r="AV33" s="29">
        <v>1057</v>
      </c>
      <c r="AW33" s="29">
        <v>862</v>
      </c>
      <c r="AX33" s="29">
        <v>862</v>
      </c>
      <c r="AY33" s="29"/>
      <c r="AZ33" s="27">
        <v>1057</v>
      </c>
      <c r="BA33" s="25">
        <v>766</v>
      </c>
      <c r="BB33" s="29">
        <v>766</v>
      </c>
      <c r="BC33" s="29">
        <f t="shared" si="15"/>
        <v>0</v>
      </c>
      <c r="BD33" s="27">
        <v>1685</v>
      </c>
      <c r="BE33" s="25">
        <v>7000</v>
      </c>
      <c r="BF33" s="27">
        <v>7000</v>
      </c>
      <c r="BG33" s="25">
        <v>7000</v>
      </c>
      <c r="BH33" s="25"/>
      <c r="BN33" s="29">
        <v>7000</v>
      </c>
    </row>
    <row r="34" spans="1:66" ht="11.25" hidden="1" x14ac:dyDescent="0.15">
      <c r="D34" s="3"/>
      <c r="E34" s="3"/>
      <c r="F34" s="3"/>
      <c r="G34" s="3"/>
      <c r="H34" s="3"/>
      <c r="I34" s="3"/>
      <c r="J34" s="3"/>
      <c r="K34" s="3"/>
      <c r="L34" s="25">
        <f t="shared" si="5"/>
        <v>0</v>
      </c>
      <c r="M34" s="3"/>
      <c r="N34" s="25"/>
      <c r="O34" s="25"/>
      <c r="P34" s="3"/>
      <c r="R34" s="25"/>
      <c r="S34" s="25"/>
      <c r="U34" s="29"/>
      <c r="V34" s="25"/>
      <c r="W34" s="25"/>
      <c r="X34" s="4"/>
      <c r="Y34" s="29"/>
      <c r="Z34" s="4"/>
      <c r="AA34" s="28"/>
      <c r="AB34" s="25"/>
      <c r="AC34" s="29"/>
      <c r="AD34" s="29"/>
      <c r="AE34" s="29"/>
      <c r="AF34" s="29"/>
      <c r="AJ34" s="25">
        <f>AQ34+AR34</f>
        <v>0</v>
      </c>
      <c r="AL34" s="25">
        <f t="shared" si="13"/>
        <v>0</v>
      </c>
      <c r="AM34" s="25">
        <f t="shared" si="4"/>
        <v>0</v>
      </c>
      <c r="AN34" s="4"/>
      <c r="AO34" s="25"/>
      <c r="AP34" s="4"/>
      <c r="AR34" s="29">
        <f t="shared" si="14"/>
        <v>0</v>
      </c>
      <c r="AS34" s="25"/>
      <c r="AT34" s="4"/>
      <c r="AZ34" s="27">
        <f>AW34+AY34</f>
        <v>0</v>
      </c>
      <c r="BC34" s="29">
        <f t="shared" si="15"/>
        <v>0</v>
      </c>
      <c r="BN34" s="29">
        <f t="shared" si="16"/>
        <v>0</v>
      </c>
    </row>
    <row r="35" spans="1:66" ht="11.25" x14ac:dyDescent="0.15">
      <c r="A35" s="4">
        <v>2045</v>
      </c>
      <c r="B35" s="4" t="s">
        <v>53</v>
      </c>
      <c r="D35" s="3">
        <v>0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0</v>
      </c>
      <c r="L35" s="25">
        <f t="shared" si="5"/>
        <v>0</v>
      </c>
      <c r="M35" s="3">
        <v>0</v>
      </c>
      <c r="N35" s="25"/>
      <c r="O35" s="25"/>
      <c r="P35" s="3"/>
      <c r="Q35" s="25"/>
      <c r="R35" s="25"/>
      <c r="S35" s="25"/>
      <c r="T35" s="25"/>
      <c r="U35" s="29"/>
      <c r="V35" s="25"/>
      <c r="W35" s="25"/>
      <c r="X35" s="4"/>
      <c r="Y35" s="29"/>
      <c r="Z35" s="4"/>
      <c r="AA35" s="28"/>
      <c r="AB35" s="25"/>
      <c r="AC35" s="29"/>
      <c r="AD35" s="29"/>
      <c r="AE35" s="29"/>
      <c r="AF35" s="29"/>
      <c r="AG35" s="29"/>
      <c r="AH35" s="25"/>
      <c r="AI35" s="25"/>
      <c r="AJ35" s="29">
        <v>55000</v>
      </c>
      <c r="AK35" s="25"/>
      <c r="AL35" s="25">
        <f t="shared" si="13"/>
        <v>0</v>
      </c>
      <c r="AM35" s="25">
        <f t="shared" si="4"/>
        <v>0</v>
      </c>
      <c r="AN35" s="4"/>
      <c r="AO35" s="25"/>
      <c r="AP35" s="4"/>
      <c r="AR35" s="29"/>
      <c r="AS35" s="25"/>
      <c r="AT35" s="4"/>
      <c r="AZ35" s="27"/>
      <c r="BC35" s="29"/>
      <c r="BN35" s="29">
        <v>95000</v>
      </c>
    </row>
    <row r="36" spans="1:66" ht="11.25" x14ac:dyDescent="0.15">
      <c r="A36" s="4">
        <v>2050</v>
      </c>
      <c r="B36" s="4" t="s">
        <v>54</v>
      </c>
      <c r="D36" s="3">
        <v>14000</v>
      </c>
      <c r="E36" s="3">
        <v>14000</v>
      </c>
      <c r="F36" s="3">
        <v>14000</v>
      </c>
      <c r="G36" s="3">
        <v>14000</v>
      </c>
      <c r="H36" s="3">
        <v>14000</v>
      </c>
      <c r="I36" s="3">
        <v>14000</v>
      </c>
      <c r="J36" s="3">
        <v>14000</v>
      </c>
      <c r="K36" s="3">
        <v>14000</v>
      </c>
      <c r="L36" s="25">
        <f t="shared" si="5"/>
        <v>8000</v>
      </c>
      <c r="M36" s="3">
        <v>6000</v>
      </c>
      <c r="N36" s="25"/>
      <c r="O36" s="25"/>
      <c r="P36" s="3">
        <v>14000</v>
      </c>
      <c r="Q36" s="25"/>
      <c r="R36" s="25"/>
      <c r="S36" s="29"/>
      <c r="T36" s="29"/>
      <c r="U36" s="29"/>
      <c r="V36" s="29"/>
      <c r="W36" s="29"/>
      <c r="X36" s="4"/>
      <c r="Y36" s="29"/>
      <c r="Z36" s="4"/>
      <c r="AA36" s="28"/>
      <c r="AB36" s="29"/>
      <c r="AC36" s="29"/>
      <c r="AD36" s="29"/>
      <c r="AE36" s="29"/>
      <c r="AF36" s="29"/>
      <c r="AG36" s="29"/>
      <c r="AH36" s="25"/>
      <c r="AI36" s="25">
        <v>12000</v>
      </c>
      <c r="AJ36" s="29">
        <v>12000</v>
      </c>
      <c r="AK36" s="25"/>
      <c r="AL36" s="25">
        <f t="shared" si="13"/>
        <v>0</v>
      </c>
      <c r="AM36" s="25">
        <f t="shared" si="4"/>
        <v>0</v>
      </c>
      <c r="AN36" s="4"/>
      <c r="AO36" s="29"/>
      <c r="AP36" s="4"/>
      <c r="AQ36" s="29"/>
      <c r="AR36" s="29">
        <f>AF36-AI36</f>
        <v>-12000</v>
      </c>
      <c r="AS36" s="29"/>
      <c r="AT36" s="4"/>
      <c r="AV36" s="29"/>
      <c r="AW36" s="29"/>
      <c r="AX36" s="29"/>
      <c r="AY36" s="29"/>
      <c r="AZ36" s="27"/>
      <c r="BA36" s="25"/>
      <c r="BB36" s="29"/>
      <c r="BC36" s="29"/>
      <c r="BD36" s="27"/>
      <c r="BE36" s="25"/>
      <c r="BF36" s="27"/>
      <c r="BG36" s="25"/>
      <c r="BH36" s="25"/>
      <c r="BN36" s="29">
        <v>12000</v>
      </c>
    </row>
    <row r="37" spans="1:66" ht="11.25" hidden="1" x14ac:dyDescent="0.15">
      <c r="B37" s="4" t="s">
        <v>55</v>
      </c>
      <c r="D37" s="3"/>
      <c r="E37" s="3"/>
      <c r="F37" s="3"/>
      <c r="G37" s="3"/>
      <c r="H37" s="3"/>
      <c r="I37" s="3"/>
      <c r="J37" s="3"/>
      <c r="K37" s="3"/>
      <c r="L37" s="25">
        <f t="shared" si="5"/>
        <v>0</v>
      </c>
      <c r="M37" s="3"/>
      <c r="O37" s="25"/>
      <c r="P37" s="3"/>
      <c r="R37" s="26"/>
      <c r="S37" s="27"/>
      <c r="T37" s="31"/>
      <c r="U37" s="29"/>
      <c r="V37" s="27"/>
      <c r="W37" s="31"/>
      <c r="X37" s="4"/>
      <c r="Y37" s="29"/>
      <c r="Z37" s="4"/>
      <c r="AA37" s="28"/>
      <c r="AB37" s="27"/>
      <c r="AC37" s="32"/>
      <c r="AD37" s="32"/>
      <c r="AE37" s="32"/>
      <c r="AF37" s="29"/>
      <c r="AG37" s="32"/>
      <c r="AJ37" s="27">
        <f>AQ37+AR37</f>
        <v>0</v>
      </c>
      <c r="AL37" s="25">
        <f t="shared" si="13"/>
        <v>0</v>
      </c>
      <c r="AM37" s="25">
        <f t="shared" si="4"/>
        <v>0</v>
      </c>
      <c r="AN37" s="4"/>
      <c r="AO37" s="27"/>
      <c r="AP37" s="4"/>
      <c r="AR37" s="29">
        <f>AF37-AI37</f>
        <v>0</v>
      </c>
      <c r="AS37" s="25"/>
      <c r="AT37" s="4"/>
      <c r="AZ37" s="27"/>
      <c r="BC37" s="29"/>
      <c r="BD37" s="31"/>
      <c r="BF37" s="31"/>
      <c r="BN37" s="29">
        <f t="shared" si="16"/>
        <v>0</v>
      </c>
    </row>
    <row r="38" spans="1:66" ht="11.25" x14ac:dyDescent="0.15">
      <c r="A38" s="4">
        <v>2051</v>
      </c>
      <c r="B38" s="4" t="s">
        <v>56</v>
      </c>
      <c r="D38" s="3"/>
      <c r="E38" s="3"/>
      <c r="F38" s="3"/>
      <c r="G38" s="3"/>
      <c r="H38" s="3"/>
      <c r="I38" s="3"/>
      <c r="J38" s="3"/>
      <c r="K38" s="3">
        <v>23000</v>
      </c>
      <c r="L38" s="25">
        <f t="shared" si="5"/>
        <v>23000</v>
      </c>
      <c r="M38" s="3"/>
      <c r="N38" s="25"/>
      <c r="O38" s="25"/>
      <c r="P38" s="3"/>
      <c r="Q38" s="25"/>
      <c r="R38" s="25"/>
      <c r="S38" s="29"/>
      <c r="T38" s="29"/>
      <c r="U38" s="29"/>
      <c r="V38" s="29"/>
      <c r="W38" s="32"/>
      <c r="X38" s="4"/>
      <c r="Y38" s="29"/>
      <c r="Z38" s="4"/>
      <c r="AA38" s="28"/>
      <c r="AB38" s="29"/>
      <c r="AC38" s="32"/>
      <c r="AD38" s="32"/>
      <c r="AE38" s="32"/>
      <c r="AF38" s="29"/>
      <c r="AG38" s="29"/>
      <c r="AH38" s="25"/>
      <c r="AI38" s="25"/>
      <c r="AJ38" s="29">
        <v>90000</v>
      </c>
      <c r="AK38" s="25"/>
      <c r="AL38" s="25">
        <f t="shared" si="13"/>
        <v>0</v>
      </c>
      <c r="AM38" s="25">
        <f t="shared" si="4"/>
        <v>0</v>
      </c>
      <c r="AN38" s="4"/>
      <c r="AO38" s="29"/>
      <c r="AP38" s="4"/>
      <c r="AR38" s="29"/>
      <c r="AS38" s="25"/>
      <c r="AT38" s="4"/>
      <c r="AZ38" s="27"/>
      <c r="BC38" s="29"/>
      <c r="BD38" s="31"/>
      <c r="BF38" s="31"/>
      <c r="BN38" s="29">
        <v>40000</v>
      </c>
    </row>
    <row r="39" spans="1:66" ht="11.25" x14ac:dyDescent="0.15">
      <c r="A39" s="4">
        <v>2052</v>
      </c>
      <c r="B39" s="4" t="s">
        <v>57</v>
      </c>
      <c r="D39" s="3"/>
      <c r="E39" s="3"/>
      <c r="F39" s="3"/>
      <c r="G39" s="3"/>
      <c r="H39" s="3"/>
      <c r="I39" s="3"/>
      <c r="J39" s="3"/>
      <c r="K39" s="3"/>
      <c r="L39" s="25">
        <f t="shared" si="5"/>
        <v>-7302</v>
      </c>
      <c r="M39" s="3">
        <v>7302</v>
      </c>
      <c r="O39" s="25"/>
      <c r="P39" s="3">
        <v>1216</v>
      </c>
      <c r="Q39" s="25"/>
      <c r="R39" s="25"/>
      <c r="S39" s="29"/>
      <c r="T39" s="29"/>
      <c r="U39" s="29"/>
      <c r="V39" s="29"/>
      <c r="W39" s="32"/>
      <c r="X39" s="4"/>
      <c r="Y39" s="29"/>
      <c r="Z39" s="4"/>
      <c r="AA39" s="28"/>
      <c r="AB39" s="29"/>
      <c r="AC39" s="32"/>
      <c r="AD39" s="32"/>
      <c r="AE39" s="32"/>
      <c r="AF39" s="29"/>
      <c r="AG39" s="29"/>
      <c r="AH39" s="25"/>
      <c r="AI39" s="25"/>
      <c r="AJ39" s="29">
        <v>0</v>
      </c>
      <c r="AK39" s="25"/>
      <c r="AL39" s="25">
        <f t="shared" si="13"/>
        <v>0</v>
      </c>
      <c r="AM39" s="25">
        <f t="shared" si="4"/>
        <v>0</v>
      </c>
      <c r="AN39" s="4"/>
      <c r="AO39" s="29"/>
      <c r="AP39" s="4"/>
      <c r="AR39" s="29"/>
      <c r="AS39" s="25"/>
      <c r="AT39" s="4"/>
      <c r="AZ39" s="27"/>
      <c r="BC39" s="29"/>
      <c r="BD39" s="31"/>
      <c r="BF39" s="31"/>
      <c r="BN39" s="29"/>
    </row>
    <row r="40" spans="1:66" ht="11.25" x14ac:dyDescent="0.15">
      <c r="A40" s="4">
        <v>2055</v>
      </c>
      <c r="B40" s="4" t="s">
        <v>58</v>
      </c>
      <c r="D40" s="3">
        <v>8000</v>
      </c>
      <c r="E40" s="3">
        <v>8000</v>
      </c>
      <c r="F40" s="3">
        <v>8000</v>
      </c>
      <c r="G40" s="3">
        <v>8000</v>
      </c>
      <c r="H40" s="3">
        <v>8000</v>
      </c>
      <c r="I40" s="3">
        <v>8000</v>
      </c>
      <c r="J40" s="3">
        <v>8000</v>
      </c>
      <c r="K40" s="3">
        <v>7958</v>
      </c>
      <c r="L40" s="25">
        <f t="shared" si="5"/>
        <v>1</v>
      </c>
      <c r="M40" s="3">
        <v>7957</v>
      </c>
      <c r="N40" s="25"/>
      <c r="O40" s="25"/>
      <c r="P40" s="3">
        <v>7958</v>
      </c>
      <c r="Q40" s="25"/>
      <c r="R40" s="25"/>
      <c r="S40" s="29"/>
      <c r="T40" s="29"/>
      <c r="U40" s="29"/>
      <c r="V40" s="29"/>
      <c r="W40" s="29"/>
      <c r="X40" s="4"/>
      <c r="Y40" s="29"/>
      <c r="Z40" s="4"/>
      <c r="AA40" s="28"/>
      <c r="AB40" s="29"/>
      <c r="AC40" s="29"/>
      <c r="AD40" s="29"/>
      <c r="AE40" s="29"/>
      <c r="AF40" s="29"/>
      <c r="AG40" s="29"/>
      <c r="AH40" s="25"/>
      <c r="AI40" s="25">
        <v>5000</v>
      </c>
      <c r="AJ40" s="29">
        <v>6247</v>
      </c>
      <c r="AK40" s="25"/>
      <c r="AL40" s="25">
        <f t="shared" si="13"/>
        <v>0</v>
      </c>
      <c r="AM40" s="25">
        <f t="shared" si="4"/>
        <v>0</v>
      </c>
      <c r="AN40" s="4"/>
      <c r="AO40" s="29"/>
      <c r="AP40" s="4"/>
      <c r="AQ40" s="29"/>
      <c r="AR40" s="29">
        <f t="shared" ref="AR40:AR45" si="17">AF40-AI40</f>
        <v>-5000</v>
      </c>
      <c r="AS40" s="29"/>
      <c r="AT40" s="4"/>
      <c r="AV40" s="29"/>
      <c r="AW40" s="29"/>
      <c r="AX40" s="29"/>
      <c r="AY40" s="29"/>
      <c r="AZ40" s="27"/>
      <c r="BA40" s="25"/>
      <c r="BB40" s="29"/>
      <c r="BC40" s="29"/>
      <c r="BD40" s="27"/>
      <c r="BE40" s="25"/>
      <c r="BF40" s="27"/>
      <c r="BG40" s="25"/>
      <c r="BH40" s="25"/>
      <c r="BN40" s="29">
        <v>6300</v>
      </c>
    </row>
    <row r="41" spans="1:66" ht="11.25" hidden="1" x14ac:dyDescent="0.15">
      <c r="B41" s="4" t="s">
        <v>59</v>
      </c>
      <c r="D41" s="3"/>
      <c r="E41" s="3"/>
      <c r="F41" s="3"/>
      <c r="G41" s="3"/>
      <c r="H41" s="3"/>
      <c r="I41" s="3"/>
      <c r="J41" s="3"/>
      <c r="K41" s="3"/>
      <c r="L41" s="25">
        <f t="shared" si="5"/>
        <v>0</v>
      </c>
      <c r="M41" s="3"/>
      <c r="N41" s="25"/>
      <c r="O41" s="25"/>
      <c r="P41" s="3"/>
      <c r="Q41" s="25"/>
      <c r="R41" s="25"/>
      <c r="S41" s="29"/>
      <c r="T41" s="29"/>
      <c r="U41" s="29"/>
      <c r="V41" s="29"/>
      <c r="W41" s="29"/>
      <c r="X41" s="4"/>
      <c r="Y41" s="29"/>
      <c r="Z41" s="4"/>
      <c r="AA41" s="28"/>
      <c r="AB41" s="29"/>
      <c r="AC41" s="29"/>
      <c r="AD41" s="29"/>
      <c r="AE41" s="29"/>
      <c r="AF41" s="29"/>
      <c r="AG41" s="29"/>
      <c r="AH41" s="25"/>
      <c r="AI41" s="25">
        <v>0</v>
      </c>
      <c r="AJ41" s="29">
        <f>AQ41+AR41</f>
        <v>0</v>
      </c>
      <c r="AK41" s="25"/>
      <c r="AL41" s="25">
        <f t="shared" si="13"/>
        <v>0</v>
      </c>
      <c r="AM41" s="25">
        <f t="shared" si="4"/>
        <v>0</v>
      </c>
      <c r="AN41" s="4"/>
      <c r="AO41" s="29"/>
      <c r="AP41" s="4"/>
      <c r="AQ41" s="29"/>
      <c r="AR41" s="29">
        <f t="shared" si="17"/>
        <v>0</v>
      </c>
      <c r="AS41" s="29"/>
      <c r="AT41" s="4"/>
      <c r="AV41" s="29"/>
      <c r="AW41" s="29"/>
      <c r="AX41" s="29"/>
      <c r="AY41" s="29"/>
      <c r="AZ41" s="27"/>
      <c r="BA41" s="25"/>
      <c r="BB41" s="29"/>
      <c r="BC41" s="29"/>
      <c r="BD41" s="27"/>
      <c r="BE41" s="25"/>
      <c r="BF41" s="27"/>
      <c r="BG41" s="25"/>
      <c r="BH41" s="25"/>
      <c r="BN41" s="29">
        <f t="shared" si="16"/>
        <v>0</v>
      </c>
    </row>
    <row r="42" spans="1:66" ht="11.25" x14ac:dyDescent="0.15">
      <c r="B42" s="4" t="s">
        <v>161</v>
      </c>
      <c r="D42" s="3" t="s">
        <v>141</v>
      </c>
      <c r="E42" s="3" t="s">
        <v>141</v>
      </c>
      <c r="F42" s="3">
        <v>5000</v>
      </c>
      <c r="G42" s="3">
        <v>0</v>
      </c>
      <c r="H42" s="3">
        <v>0</v>
      </c>
      <c r="I42" s="3">
        <v>0</v>
      </c>
      <c r="J42" s="3">
        <v>0</v>
      </c>
      <c r="K42" s="3">
        <v>0</v>
      </c>
      <c r="L42" s="25">
        <f t="shared" si="5"/>
        <v>0</v>
      </c>
      <c r="M42" s="3">
        <v>0</v>
      </c>
      <c r="N42" s="25"/>
      <c r="O42" s="25"/>
      <c r="P42" s="3">
        <v>0</v>
      </c>
      <c r="Q42" s="25"/>
      <c r="R42" s="25"/>
      <c r="S42" s="29"/>
      <c r="T42" s="29"/>
      <c r="U42" s="29"/>
      <c r="V42" s="29"/>
      <c r="W42" s="29"/>
      <c r="X42" s="4"/>
      <c r="Y42" s="29"/>
      <c r="Z42" s="4"/>
      <c r="AA42" s="28"/>
      <c r="AB42" s="29"/>
      <c r="AC42" s="29"/>
      <c r="AD42" s="29"/>
      <c r="AE42" s="29"/>
      <c r="AF42" s="29"/>
      <c r="AG42" s="29"/>
      <c r="AH42" s="25"/>
      <c r="AI42" s="25">
        <v>0</v>
      </c>
      <c r="AJ42" s="29">
        <v>0</v>
      </c>
      <c r="AK42" s="25"/>
      <c r="AL42" s="25">
        <f t="shared" si="13"/>
        <v>0</v>
      </c>
      <c r="AM42" s="25">
        <f t="shared" si="4"/>
        <v>0</v>
      </c>
      <c r="AN42" s="4"/>
      <c r="AO42" s="29"/>
      <c r="AP42" s="4"/>
      <c r="AQ42" s="29"/>
      <c r="AR42" s="29">
        <f t="shared" si="17"/>
        <v>0</v>
      </c>
      <c r="AS42" s="29"/>
      <c r="AT42" s="4"/>
      <c r="AV42" s="29"/>
      <c r="AW42" s="29"/>
      <c r="AX42" s="29"/>
      <c r="AY42" s="29"/>
      <c r="AZ42" s="27"/>
      <c r="BA42" s="25"/>
      <c r="BB42" s="29"/>
      <c r="BC42" s="29"/>
      <c r="BD42" s="27"/>
      <c r="BE42" s="25"/>
      <c r="BF42" s="27"/>
      <c r="BG42" s="25"/>
      <c r="BH42" s="25"/>
      <c r="BN42" s="29">
        <f t="shared" si="16"/>
        <v>0</v>
      </c>
    </row>
    <row r="43" spans="1:66" ht="11.25" hidden="1" x14ac:dyDescent="0.15">
      <c r="D43" s="3"/>
      <c r="E43" s="3"/>
      <c r="F43" s="3"/>
      <c r="G43" s="3"/>
      <c r="H43" s="3"/>
      <c r="I43" s="3"/>
      <c r="J43" s="3"/>
      <c r="K43" s="3"/>
      <c r="L43" s="25">
        <f t="shared" si="5"/>
        <v>0</v>
      </c>
      <c r="M43" s="3"/>
      <c r="N43" s="25"/>
      <c r="O43" s="25"/>
      <c r="P43" s="3"/>
      <c r="Q43" s="25"/>
      <c r="R43" s="25"/>
      <c r="S43" s="29"/>
      <c r="T43" s="29"/>
      <c r="U43" s="29"/>
      <c r="V43" s="29"/>
      <c r="W43" s="29"/>
      <c r="X43" s="4"/>
      <c r="Y43" s="29"/>
      <c r="Z43" s="4"/>
      <c r="AA43" s="28"/>
      <c r="AB43" s="29"/>
      <c r="AC43" s="29"/>
      <c r="AD43" s="29"/>
      <c r="AE43" s="29"/>
      <c r="AF43" s="29"/>
      <c r="AG43" s="29"/>
      <c r="AH43" s="25"/>
      <c r="AI43" s="25"/>
      <c r="AJ43" s="29">
        <f>AQ43+AR43</f>
        <v>0</v>
      </c>
      <c r="AK43" s="25"/>
      <c r="AL43" s="25">
        <f t="shared" si="13"/>
        <v>0</v>
      </c>
      <c r="AM43" s="25">
        <f t="shared" si="4"/>
        <v>0</v>
      </c>
      <c r="AN43" s="4"/>
      <c r="AO43" s="29"/>
      <c r="AP43" s="4"/>
      <c r="AQ43" s="29"/>
      <c r="AR43" s="29">
        <f t="shared" si="17"/>
        <v>0</v>
      </c>
      <c r="AS43" s="29"/>
      <c r="AT43" s="4"/>
      <c r="AV43" s="29"/>
      <c r="AW43" s="29"/>
      <c r="AX43" s="29"/>
      <c r="AY43" s="29"/>
      <c r="AZ43" s="27"/>
      <c r="BA43" s="25"/>
      <c r="BB43" s="29"/>
      <c r="BC43" s="29"/>
      <c r="BD43" s="27"/>
      <c r="BE43" s="25"/>
      <c r="BF43" s="27"/>
      <c r="BG43" s="25"/>
      <c r="BH43" s="25"/>
      <c r="BN43" s="29">
        <f t="shared" si="16"/>
        <v>0</v>
      </c>
    </row>
    <row r="44" spans="1:66" ht="11.25" x14ac:dyDescent="0.15">
      <c r="B44" s="4" t="s">
        <v>61</v>
      </c>
      <c r="D44" s="3">
        <v>5000</v>
      </c>
      <c r="E44" s="3">
        <v>5000</v>
      </c>
      <c r="F44" s="3">
        <v>5000</v>
      </c>
      <c r="G44" s="3">
        <v>5000</v>
      </c>
      <c r="H44" s="3">
        <v>5000</v>
      </c>
      <c r="I44" s="3">
        <v>5000</v>
      </c>
      <c r="J44" s="3">
        <v>5000</v>
      </c>
      <c r="K44" s="3">
        <v>1216</v>
      </c>
      <c r="L44" s="25">
        <f t="shared" si="5"/>
        <v>1216</v>
      </c>
      <c r="M44" s="3">
        <v>0</v>
      </c>
      <c r="N44" s="25"/>
      <c r="O44" s="25"/>
      <c r="P44" s="3">
        <v>5332</v>
      </c>
      <c r="Q44" s="25"/>
      <c r="R44" s="25"/>
      <c r="S44" s="29"/>
      <c r="T44" s="29"/>
      <c r="U44" s="29"/>
      <c r="V44" s="29"/>
      <c r="W44" s="29"/>
      <c r="X44" s="4"/>
      <c r="Y44" s="29"/>
      <c r="Z44" s="4"/>
      <c r="AA44" s="28"/>
      <c r="AB44" s="29"/>
      <c r="AC44" s="29"/>
      <c r="AD44" s="29"/>
      <c r="AE44" s="29"/>
      <c r="AF44" s="29"/>
      <c r="AG44" s="29"/>
      <c r="AH44" s="25"/>
      <c r="AI44" s="25"/>
      <c r="AJ44" s="29">
        <v>0</v>
      </c>
      <c r="AK44" s="25"/>
      <c r="AL44" s="25">
        <f t="shared" si="13"/>
        <v>0</v>
      </c>
      <c r="AM44" s="25">
        <f t="shared" si="4"/>
        <v>-645</v>
      </c>
      <c r="AN44" s="4"/>
      <c r="AO44" s="29">
        <v>645</v>
      </c>
      <c r="AP44" s="4"/>
      <c r="AQ44" s="29"/>
      <c r="AR44" s="29">
        <f t="shared" si="17"/>
        <v>0</v>
      </c>
      <c r="AS44" s="29"/>
      <c r="AT44" s="4"/>
      <c r="AV44" s="29"/>
      <c r="AW44" s="29"/>
      <c r="AX44" s="29"/>
      <c r="AY44" s="29"/>
      <c r="AZ44" s="27"/>
      <c r="BA44" s="25"/>
      <c r="BB44" s="29"/>
      <c r="BC44" s="29"/>
      <c r="BD44" s="27"/>
      <c r="BE44" s="25"/>
      <c r="BF44" s="27"/>
      <c r="BG44" s="25"/>
      <c r="BH44" s="25"/>
      <c r="BN44" s="29">
        <f t="shared" si="16"/>
        <v>0</v>
      </c>
    </row>
    <row r="45" spans="1:66" ht="11.25" x14ac:dyDescent="0.15">
      <c r="B45" s="4" t="s">
        <v>62</v>
      </c>
      <c r="D45" s="3">
        <v>25000</v>
      </c>
      <c r="E45" s="3">
        <v>25000</v>
      </c>
      <c r="F45" s="3">
        <v>25000</v>
      </c>
      <c r="G45" s="3">
        <v>25000</v>
      </c>
      <c r="H45" s="3">
        <v>25000</v>
      </c>
      <c r="I45" s="3">
        <v>25000</v>
      </c>
      <c r="J45" s="3">
        <v>25000</v>
      </c>
      <c r="K45" s="3">
        <v>5332</v>
      </c>
      <c r="L45" s="25">
        <f t="shared" si="5"/>
        <v>-5367</v>
      </c>
      <c r="M45" s="3">
        <v>10699</v>
      </c>
      <c r="N45" s="25"/>
      <c r="O45" s="25"/>
      <c r="P45" s="3" t="s">
        <v>141</v>
      </c>
      <c r="Q45" s="25"/>
      <c r="R45" s="25"/>
      <c r="S45" s="29"/>
      <c r="T45" s="29"/>
      <c r="U45" s="29"/>
      <c r="V45" s="29"/>
      <c r="W45" s="29"/>
      <c r="X45" s="4"/>
      <c r="Y45" s="29"/>
      <c r="Z45" s="4"/>
      <c r="AA45" s="28"/>
      <c r="AB45" s="29"/>
      <c r="AC45" s="29"/>
      <c r="AD45" s="29"/>
      <c r="AE45" s="29"/>
      <c r="AF45" s="29"/>
      <c r="AG45" s="29"/>
      <c r="AH45" s="25"/>
      <c r="AI45" s="25"/>
      <c r="AJ45" s="29">
        <v>7000</v>
      </c>
      <c r="AK45" s="25"/>
      <c r="AL45" s="25">
        <f t="shared" si="13"/>
        <v>0</v>
      </c>
      <c r="AM45" s="25">
        <f t="shared" si="4"/>
        <v>0</v>
      </c>
      <c r="AN45" s="4"/>
      <c r="AO45" s="29"/>
      <c r="AP45" s="4"/>
      <c r="AQ45" s="29"/>
      <c r="AR45" s="29">
        <f t="shared" si="17"/>
        <v>0</v>
      </c>
      <c r="AS45" s="29"/>
      <c r="AT45" s="4"/>
      <c r="AV45" s="29"/>
      <c r="AW45" s="29"/>
      <c r="AX45" s="29"/>
      <c r="AY45" s="29"/>
      <c r="AZ45" s="27"/>
      <c r="BA45" s="25"/>
      <c r="BB45" s="29"/>
      <c r="BC45" s="29"/>
      <c r="BD45" s="27"/>
      <c r="BE45" s="25"/>
      <c r="BF45" s="27"/>
      <c r="BG45" s="25"/>
      <c r="BH45" s="25"/>
      <c r="BN45" s="29">
        <v>7000</v>
      </c>
    </row>
    <row r="46" spans="1:66" ht="11.25" hidden="1" x14ac:dyDescent="0.15">
      <c r="B46" s="4" t="s">
        <v>63</v>
      </c>
      <c r="D46" s="3"/>
      <c r="E46" s="3"/>
      <c r="F46" s="3"/>
      <c r="G46" s="3"/>
      <c r="H46" s="3"/>
      <c r="I46" s="3"/>
      <c r="J46" s="3"/>
      <c r="K46" s="3"/>
      <c r="L46" s="25">
        <f t="shared" si="5"/>
        <v>0</v>
      </c>
      <c r="M46" s="3"/>
      <c r="N46" s="25"/>
      <c r="O46" s="25"/>
      <c r="P46" s="3"/>
      <c r="Q46" s="25"/>
      <c r="R46" s="25"/>
      <c r="S46" s="29"/>
      <c r="T46" s="29"/>
      <c r="U46" s="29"/>
      <c r="V46" s="29"/>
      <c r="W46" s="29"/>
      <c r="X46" s="4"/>
      <c r="Y46" s="29"/>
      <c r="Z46" s="4"/>
      <c r="AA46" s="28"/>
      <c r="AB46" s="29"/>
      <c r="AC46" s="29"/>
      <c r="AD46" s="29"/>
      <c r="AE46" s="29"/>
      <c r="AF46" s="29"/>
      <c r="AG46" s="29"/>
      <c r="AH46" s="25"/>
      <c r="AI46" s="25"/>
      <c r="AJ46" s="29">
        <f>AQ46+AR46</f>
        <v>0</v>
      </c>
      <c r="AK46" s="25"/>
      <c r="AL46" s="25">
        <f t="shared" si="13"/>
        <v>0</v>
      </c>
      <c r="AM46" s="25">
        <f t="shared" si="4"/>
        <v>0</v>
      </c>
      <c r="AN46" s="4"/>
      <c r="AO46" s="29"/>
      <c r="AP46" s="4"/>
      <c r="AQ46" s="29"/>
      <c r="AR46" s="29"/>
      <c r="AS46" s="29"/>
      <c r="AT46" s="4"/>
      <c r="AV46" s="29"/>
      <c r="AW46" s="29"/>
      <c r="AX46" s="29"/>
      <c r="AY46" s="29"/>
      <c r="AZ46" s="27"/>
      <c r="BA46" s="25"/>
      <c r="BB46" s="29"/>
      <c r="BC46" s="29"/>
      <c r="BD46" s="27"/>
      <c r="BE46" s="25"/>
      <c r="BF46" s="27"/>
      <c r="BG46" s="25"/>
      <c r="BH46" s="25"/>
      <c r="BN46" s="29"/>
    </row>
    <row r="47" spans="1:66" ht="11.25" x14ac:dyDescent="0.15">
      <c r="B47" s="4" t="s">
        <v>64</v>
      </c>
      <c r="D47" s="3"/>
      <c r="E47" s="3"/>
      <c r="F47" s="3"/>
      <c r="G47" s="3"/>
      <c r="H47" s="3"/>
      <c r="I47" s="3"/>
      <c r="J47" s="3"/>
      <c r="K47" s="3"/>
      <c r="L47" s="25">
        <f t="shared" si="5"/>
        <v>0</v>
      </c>
      <c r="M47" s="3"/>
      <c r="N47" s="25"/>
      <c r="O47" s="25"/>
      <c r="P47" s="3"/>
      <c r="Q47" s="25"/>
      <c r="R47" s="25"/>
      <c r="S47" s="29"/>
      <c r="T47" s="29"/>
      <c r="U47" s="29"/>
      <c r="V47" s="29"/>
      <c r="W47" s="29"/>
      <c r="X47" s="4"/>
      <c r="Y47" s="29"/>
      <c r="Z47" s="4"/>
      <c r="AA47" s="28"/>
      <c r="AB47" s="29"/>
      <c r="AC47" s="29"/>
      <c r="AD47" s="29"/>
      <c r="AE47" s="29"/>
      <c r="AF47" s="29"/>
      <c r="AG47" s="29"/>
      <c r="AH47" s="25"/>
      <c r="AI47" s="25"/>
      <c r="AJ47" s="29"/>
      <c r="AK47" s="25"/>
      <c r="AL47" s="25"/>
      <c r="AM47" s="25"/>
      <c r="AN47" s="4"/>
      <c r="AO47" s="29"/>
      <c r="AP47" s="4"/>
      <c r="AQ47" s="29"/>
      <c r="AR47" s="29"/>
      <c r="AS47" s="29"/>
      <c r="AT47" s="4"/>
      <c r="AV47" s="29"/>
      <c r="AW47" s="29"/>
      <c r="AX47" s="29"/>
      <c r="AY47" s="29"/>
      <c r="AZ47" s="27"/>
      <c r="BA47" s="25"/>
      <c r="BB47" s="29"/>
      <c r="BC47" s="29"/>
      <c r="BD47" s="27"/>
      <c r="BE47" s="25"/>
      <c r="BF47" s="27"/>
      <c r="BG47" s="25"/>
      <c r="BH47" s="25"/>
      <c r="BN47" s="29"/>
    </row>
    <row r="48" spans="1:66" ht="11.25" x14ac:dyDescent="0.15">
      <c r="B48" s="4" t="s">
        <v>154</v>
      </c>
      <c r="D48" s="3">
        <v>13000</v>
      </c>
      <c r="E48" s="3">
        <v>13000</v>
      </c>
      <c r="F48" s="3">
        <v>0</v>
      </c>
      <c r="G48" s="3">
        <v>0</v>
      </c>
      <c r="H48" s="67">
        <v>13000</v>
      </c>
      <c r="I48" s="3">
        <v>13000</v>
      </c>
      <c r="J48" s="3">
        <v>13000</v>
      </c>
      <c r="K48" s="3"/>
      <c r="L48" s="25">
        <f t="shared" si="5"/>
        <v>0</v>
      </c>
      <c r="M48" s="3"/>
      <c r="N48" s="25"/>
      <c r="O48" s="25"/>
      <c r="P48" s="3">
        <f>SUM(P25:P47)</f>
        <v>562031</v>
      </c>
      <c r="Q48" s="25"/>
      <c r="R48" s="25"/>
      <c r="S48" s="29"/>
      <c r="T48" s="29"/>
      <c r="U48" s="29"/>
      <c r="V48" s="29"/>
      <c r="W48" s="29"/>
      <c r="X48" s="4"/>
      <c r="Y48" s="29"/>
      <c r="Z48" s="4"/>
      <c r="AA48" s="28"/>
      <c r="AB48" s="29"/>
      <c r="AC48" s="29"/>
      <c r="AD48" s="29"/>
      <c r="AE48" s="29"/>
      <c r="AF48" s="29"/>
      <c r="AG48" s="29"/>
      <c r="AH48" s="25"/>
      <c r="AI48" s="25"/>
      <c r="AJ48" s="29"/>
      <c r="AK48" s="25"/>
      <c r="AL48" s="25"/>
      <c r="AM48" s="25"/>
      <c r="AN48" s="4"/>
      <c r="AO48" s="29"/>
      <c r="AP48" s="4"/>
      <c r="AQ48" s="29"/>
      <c r="AR48" s="29"/>
      <c r="AS48" s="29"/>
      <c r="AT48" s="4"/>
      <c r="AV48" s="29"/>
      <c r="AW48" s="29"/>
      <c r="AX48" s="29"/>
      <c r="AY48" s="29"/>
      <c r="AZ48" s="27"/>
      <c r="BA48" s="25"/>
      <c r="BB48" s="29"/>
      <c r="BC48" s="29"/>
      <c r="BD48" s="27"/>
      <c r="BE48" s="25"/>
      <c r="BF48" s="27"/>
      <c r="BG48" s="25"/>
      <c r="BH48" s="25"/>
      <c r="BN48" s="29"/>
    </row>
    <row r="49" spans="1:79" x14ac:dyDescent="0.2">
      <c r="D49" s="15" t="s">
        <v>4</v>
      </c>
      <c r="E49" s="15" t="s">
        <v>4</v>
      </c>
      <c r="F49" s="15" t="s">
        <v>4</v>
      </c>
      <c r="G49" s="15" t="s">
        <v>4</v>
      </c>
      <c r="H49" s="15" t="s">
        <v>4</v>
      </c>
      <c r="I49" s="15" t="s">
        <v>4</v>
      </c>
      <c r="J49" s="15" t="s">
        <v>4</v>
      </c>
      <c r="K49" s="13" t="s">
        <v>143</v>
      </c>
      <c r="L49" s="14"/>
      <c r="M49" s="12" t="s">
        <v>155</v>
      </c>
      <c r="N49" s="12"/>
      <c r="O49" s="12"/>
      <c r="P49" s="12" t="s">
        <v>5</v>
      </c>
      <c r="Q49" s="12"/>
      <c r="R49" s="13"/>
      <c r="S49" s="18"/>
      <c r="T49" s="12"/>
      <c r="U49" s="18"/>
      <c r="W49" s="5"/>
      <c r="X49" s="4"/>
      <c r="Y49" s="5"/>
      <c r="AB49" s="12"/>
      <c r="AC49" s="5"/>
      <c r="AD49" s="5"/>
      <c r="AE49" s="5"/>
      <c r="AF49" s="5"/>
      <c r="AG49" s="5"/>
      <c r="AH49" s="38"/>
      <c r="AI49" s="12">
        <v>2019</v>
      </c>
      <c r="AJ49" s="12" t="s">
        <v>6</v>
      </c>
      <c r="AK49" s="12"/>
      <c r="AL49" s="12" t="s">
        <v>7</v>
      </c>
      <c r="AM49" s="10" t="s">
        <v>8</v>
      </c>
      <c r="AN49" s="4"/>
      <c r="AO49" s="5" t="s">
        <v>5</v>
      </c>
      <c r="AQ49" s="5" t="s">
        <v>9</v>
      </c>
      <c r="AR49" s="5" t="s">
        <v>10</v>
      </c>
      <c r="AS49" s="5"/>
      <c r="AV49" s="19">
        <v>43830</v>
      </c>
      <c r="AW49" s="19">
        <v>43769</v>
      </c>
      <c r="AX49" s="19">
        <v>43738</v>
      </c>
      <c r="AY49" s="19" t="s">
        <v>11</v>
      </c>
      <c r="AZ49" s="20" t="s">
        <v>5</v>
      </c>
      <c r="BA49" s="17">
        <v>43677</v>
      </c>
      <c r="BB49" s="19">
        <v>43646</v>
      </c>
      <c r="BC49" s="19" t="s">
        <v>12</v>
      </c>
      <c r="BD49" s="21">
        <v>43465</v>
      </c>
      <c r="BE49" s="12">
        <v>2018</v>
      </c>
      <c r="BF49" s="7">
        <v>2017</v>
      </c>
      <c r="BG49" s="12">
        <v>2017</v>
      </c>
      <c r="BH49" s="12"/>
      <c r="BL49" s="4" t="s">
        <v>13</v>
      </c>
      <c r="BN49" s="5" t="s">
        <v>4</v>
      </c>
      <c r="BO49" s="4">
        <v>2021</v>
      </c>
    </row>
    <row r="50" spans="1:79" x14ac:dyDescent="0.2">
      <c r="B50" s="5"/>
      <c r="C50" s="5"/>
      <c r="D50" s="39" t="s">
        <v>159</v>
      </c>
      <c r="E50" s="39" t="s">
        <v>144</v>
      </c>
      <c r="F50" s="39" t="s">
        <v>70</v>
      </c>
      <c r="G50" s="39" t="s">
        <v>71</v>
      </c>
      <c r="H50" s="39" t="s">
        <v>72</v>
      </c>
      <c r="I50" s="39" t="s">
        <v>73</v>
      </c>
      <c r="J50" s="39" t="s">
        <v>73</v>
      </c>
      <c r="K50" s="15" t="s">
        <v>5</v>
      </c>
      <c r="L50" s="14"/>
      <c r="M50" s="12"/>
      <c r="N50" s="16"/>
      <c r="O50" s="12"/>
      <c r="P50" s="17">
        <v>45626</v>
      </c>
      <c r="Q50" s="40"/>
      <c r="R50" s="22"/>
      <c r="S50" s="23"/>
      <c r="T50" s="12"/>
      <c r="U50" s="18"/>
      <c r="V50" s="9"/>
      <c r="W50" s="12"/>
      <c r="X50" s="4"/>
      <c r="Y50" s="9"/>
      <c r="AB50" s="9"/>
      <c r="AC50" s="14"/>
      <c r="AD50" s="14"/>
      <c r="AE50" s="14"/>
      <c r="AF50" s="14"/>
      <c r="AG50" s="14"/>
      <c r="AH50" s="12"/>
      <c r="AI50" s="12" t="s">
        <v>3</v>
      </c>
      <c r="AJ50" s="12"/>
      <c r="AK50" s="12"/>
      <c r="AL50" s="12"/>
      <c r="AN50" s="4"/>
      <c r="AO50" s="9">
        <v>43951</v>
      </c>
      <c r="AQ50" s="14">
        <v>2020</v>
      </c>
      <c r="AR50" s="14" t="s">
        <v>15</v>
      </c>
      <c r="AS50" s="14"/>
      <c r="AU50" s="5">
        <v>2021</v>
      </c>
      <c r="AV50" s="14" t="s">
        <v>14</v>
      </c>
      <c r="AW50" s="14" t="s">
        <v>14</v>
      </c>
      <c r="AX50" s="14" t="s">
        <v>14</v>
      </c>
      <c r="AY50" s="14" t="s">
        <v>16</v>
      </c>
      <c r="AZ50" s="18">
        <v>2019</v>
      </c>
      <c r="BA50" s="12" t="s">
        <v>14</v>
      </c>
      <c r="BB50" s="14" t="s">
        <v>14</v>
      </c>
      <c r="BC50" s="14" t="s">
        <v>17</v>
      </c>
      <c r="BD50" s="24" t="s">
        <v>5</v>
      </c>
      <c r="BE50" s="12" t="s">
        <v>3</v>
      </c>
      <c r="BF50" s="18" t="s">
        <v>14</v>
      </c>
      <c r="BG50" s="12" t="s">
        <v>3</v>
      </c>
      <c r="BH50" s="5">
        <v>2020</v>
      </c>
      <c r="BI50" s="5">
        <v>2019</v>
      </c>
      <c r="BJ50" s="5">
        <v>2018</v>
      </c>
      <c r="BK50" s="5">
        <v>2017</v>
      </c>
      <c r="BL50" s="5">
        <v>2016</v>
      </c>
      <c r="BN50" s="14">
        <v>2021</v>
      </c>
    </row>
    <row r="51" spans="1:79" ht="11.25" x14ac:dyDescent="0.15">
      <c r="D51" s="3"/>
      <c r="E51" s="3"/>
      <c r="F51" s="3"/>
      <c r="G51" s="3"/>
      <c r="H51" s="3"/>
      <c r="I51" s="3"/>
      <c r="J51" s="3"/>
      <c r="K51" s="13">
        <v>2025</v>
      </c>
      <c r="L51" s="14" t="s">
        <v>156</v>
      </c>
      <c r="M51" s="12"/>
      <c r="N51" s="12"/>
      <c r="O51" s="12"/>
      <c r="P51" s="12"/>
      <c r="Q51" s="25"/>
      <c r="R51" s="25"/>
      <c r="S51" s="29"/>
      <c r="T51" s="29"/>
      <c r="U51" s="29"/>
      <c r="V51" s="29"/>
      <c r="W51" s="29"/>
      <c r="X51" s="4"/>
      <c r="Y51" s="29"/>
      <c r="Z51" s="4"/>
      <c r="AA51" s="28"/>
      <c r="AB51" s="29"/>
      <c r="AC51" s="29"/>
      <c r="AD51" s="29"/>
      <c r="AE51" s="29"/>
      <c r="AF51" s="29"/>
      <c r="AG51" s="29"/>
      <c r="AH51" s="25"/>
      <c r="AI51" s="25"/>
      <c r="AJ51" s="29"/>
      <c r="AK51" s="25"/>
      <c r="AL51" s="25"/>
      <c r="AM51" s="25"/>
      <c r="AN51" s="4"/>
      <c r="AO51" s="29"/>
      <c r="AP51" s="4"/>
      <c r="AQ51" s="29"/>
      <c r="AR51" s="29"/>
      <c r="AS51" s="29"/>
      <c r="AT51" s="4"/>
      <c r="AV51" s="29"/>
      <c r="AW51" s="29"/>
      <c r="AX51" s="29"/>
      <c r="AY51" s="29"/>
      <c r="AZ51" s="27"/>
      <c r="BA51" s="25"/>
      <c r="BB51" s="29"/>
      <c r="BC51" s="29"/>
      <c r="BD51" s="27"/>
      <c r="BE51" s="25"/>
      <c r="BF51" s="27"/>
      <c r="BG51" s="25"/>
      <c r="BH51" s="25"/>
      <c r="BN51" s="29"/>
    </row>
    <row r="52" spans="1:79" ht="11.25" x14ac:dyDescent="0.15">
      <c r="B52" s="4" t="s">
        <v>139</v>
      </c>
      <c r="D52" s="3"/>
      <c r="E52" s="3"/>
      <c r="F52" s="3"/>
      <c r="G52" s="3"/>
      <c r="H52" s="3"/>
      <c r="I52" s="3"/>
      <c r="J52" s="3"/>
      <c r="K52" s="3"/>
      <c r="L52" s="25">
        <f t="shared" si="5"/>
        <v>0</v>
      </c>
      <c r="M52" s="3"/>
      <c r="N52" s="25"/>
      <c r="O52" s="25"/>
      <c r="P52" s="3"/>
      <c r="Q52" s="25"/>
      <c r="R52" s="25"/>
      <c r="S52" s="29"/>
      <c r="T52" s="29"/>
      <c r="U52" s="29"/>
      <c r="V52" s="29"/>
      <c r="W52" s="29"/>
      <c r="X52" s="4"/>
      <c r="Y52" s="29"/>
      <c r="Z52" s="4"/>
      <c r="AA52" s="28"/>
      <c r="AB52" s="29"/>
      <c r="AC52" s="29"/>
      <c r="AD52" s="29"/>
      <c r="AE52" s="29"/>
      <c r="AF52" s="29"/>
      <c r="AG52" s="29"/>
      <c r="AH52" s="25"/>
      <c r="AI52" s="25"/>
      <c r="AJ52" s="29"/>
      <c r="AK52" s="25"/>
      <c r="AL52" s="25"/>
      <c r="AM52" s="25"/>
      <c r="AN52" s="4"/>
      <c r="AO52" s="29"/>
      <c r="AP52" s="4"/>
      <c r="AQ52" s="29"/>
      <c r="AR52" s="29"/>
      <c r="AS52" s="29"/>
      <c r="AT52" s="4"/>
      <c r="AV52" s="29"/>
      <c r="AW52" s="29"/>
      <c r="AX52" s="29"/>
      <c r="AY52" s="29"/>
      <c r="AZ52" s="27"/>
      <c r="BA52" s="25"/>
      <c r="BB52" s="29"/>
      <c r="BC52" s="29"/>
      <c r="BD52" s="27"/>
      <c r="BE52" s="25"/>
      <c r="BF52" s="27"/>
      <c r="BG52" s="25"/>
      <c r="BH52" s="25"/>
      <c r="BN52" s="29"/>
    </row>
    <row r="53" spans="1:79" ht="11.25" x14ac:dyDescent="0.15">
      <c r="B53" s="4" t="s">
        <v>141</v>
      </c>
      <c r="D53" s="3" t="s">
        <v>141</v>
      </c>
      <c r="E53" s="3" t="s">
        <v>141</v>
      </c>
      <c r="F53" s="3" t="s">
        <v>141</v>
      </c>
      <c r="G53" s="3"/>
      <c r="H53" s="3"/>
      <c r="I53" s="3"/>
      <c r="J53" s="3"/>
      <c r="K53" s="3"/>
      <c r="L53" s="25">
        <f t="shared" si="5"/>
        <v>0</v>
      </c>
      <c r="M53" s="3"/>
      <c r="N53" s="25"/>
      <c r="O53" s="25"/>
      <c r="P53" s="3"/>
      <c r="Q53" s="25"/>
      <c r="R53" s="25"/>
      <c r="S53" s="29"/>
      <c r="T53" s="29"/>
      <c r="U53" s="29"/>
      <c r="V53" s="29"/>
      <c r="W53" s="29"/>
      <c r="X53" s="4"/>
      <c r="Y53" s="29"/>
      <c r="Z53" s="4"/>
      <c r="AA53" s="28"/>
      <c r="AB53" s="29"/>
      <c r="AC53" s="29"/>
      <c r="AD53" s="29"/>
      <c r="AE53" s="29"/>
      <c r="AF53" s="29"/>
      <c r="AG53" s="29"/>
      <c r="AH53" s="25"/>
      <c r="AI53" s="25"/>
      <c r="AJ53" s="29"/>
      <c r="AK53" s="25"/>
      <c r="AL53" s="25"/>
      <c r="AM53" s="25"/>
      <c r="AN53" s="4"/>
      <c r="AO53" s="29"/>
      <c r="AP53" s="4"/>
      <c r="AQ53" s="29"/>
      <c r="AR53" s="29"/>
      <c r="AS53" s="29"/>
      <c r="AT53" s="4"/>
      <c r="AV53" s="29"/>
      <c r="AW53" s="29"/>
      <c r="AX53" s="29"/>
      <c r="AY53" s="29"/>
      <c r="AZ53" s="27"/>
      <c r="BA53" s="25"/>
      <c r="BB53" s="29"/>
      <c r="BC53" s="29"/>
      <c r="BD53" s="27"/>
      <c r="BE53" s="25"/>
      <c r="BF53" s="27"/>
      <c r="BG53" s="25"/>
      <c r="BH53" s="25"/>
      <c r="BN53" s="29"/>
    </row>
    <row r="54" spans="1:79" ht="11.25" x14ac:dyDescent="0.15">
      <c r="A54" s="4">
        <v>2100</v>
      </c>
      <c r="B54" s="4" t="s">
        <v>65</v>
      </c>
      <c r="D54" s="3">
        <v>193087</v>
      </c>
      <c r="E54" s="3">
        <v>193087</v>
      </c>
      <c r="F54" s="3">
        <v>193087</v>
      </c>
      <c r="G54" s="3">
        <f>196170-3083</f>
        <v>193087</v>
      </c>
      <c r="H54" s="3">
        <v>196170</v>
      </c>
      <c r="I54" s="3">
        <v>196170</v>
      </c>
      <c r="J54" s="3">
        <v>196170</v>
      </c>
      <c r="K54" s="3">
        <v>194062</v>
      </c>
      <c r="L54" s="25">
        <f t="shared" si="5"/>
        <v>-2111</v>
      </c>
      <c r="M54" s="3">
        <v>196173</v>
      </c>
      <c r="N54" s="25"/>
      <c r="O54" s="25"/>
      <c r="P54" s="3">
        <v>194062</v>
      </c>
      <c r="Q54" s="25"/>
      <c r="R54" s="25"/>
      <c r="S54" s="29"/>
      <c r="T54" s="29"/>
      <c r="U54" s="29"/>
      <c r="V54" s="29"/>
      <c r="W54" s="29"/>
      <c r="X54" s="4"/>
      <c r="Y54" s="29"/>
      <c r="Z54" s="4"/>
      <c r="AA54" s="28"/>
      <c r="AB54" s="29"/>
      <c r="AC54" s="29"/>
      <c r="AD54" s="29"/>
      <c r="AE54" s="29"/>
      <c r="AF54" s="29"/>
      <c r="AG54" s="29"/>
      <c r="AH54" s="25"/>
      <c r="AI54" s="25">
        <v>154000</v>
      </c>
      <c r="AJ54" s="29">
        <v>135737</v>
      </c>
      <c r="AK54" s="25"/>
      <c r="AL54" s="25">
        <f t="shared" si="13"/>
        <v>0</v>
      </c>
      <c r="AM54" s="25">
        <f t="shared" ref="AM54:AM110" si="18">AB54-AO54</f>
        <v>0</v>
      </c>
      <c r="AN54" s="4"/>
      <c r="AO54" s="29"/>
      <c r="AP54" s="4"/>
      <c r="AQ54" s="29"/>
      <c r="AR54" s="29">
        <f>AF54-AI54</f>
        <v>-154000</v>
      </c>
      <c r="AS54" s="29"/>
      <c r="AT54" s="4"/>
      <c r="AV54" s="29">
        <f>64441+16064+43515+11717</f>
        <v>135737</v>
      </c>
      <c r="AW54" s="29">
        <f>64441+16064+43515+11717</f>
        <v>135737</v>
      </c>
      <c r="AX54" s="29">
        <f>64441+16064+43515+11717</f>
        <v>135737</v>
      </c>
      <c r="AY54" s="29"/>
      <c r="AZ54" s="27">
        <f>AW54+AY54</f>
        <v>135737</v>
      </c>
      <c r="BA54" s="25">
        <f>64441+16064+43515+11717</f>
        <v>135737</v>
      </c>
      <c r="BB54" s="29">
        <f>64441+16064+43515+11717</f>
        <v>135737</v>
      </c>
      <c r="BC54" s="29">
        <f>AV54-AZ54</f>
        <v>0</v>
      </c>
      <c r="BD54" s="27">
        <v>140187</v>
      </c>
      <c r="BE54" s="25">
        <v>154000</v>
      </c>
      <c r="BF54" s="27">
        <f>139628+15000</f>
        <v>154628</v>
      </c>
      <c r="BG54" s="25">
        <v>160780</v>
      </c>
      <c r="BH54" s="25"/>
      <c r="BJ54" s="25"/>
      <c r="BN54" s="29">
        <f>130000+240000</f>
        <v>370000</v>
      </c>
    </row>
    <row r="55" spans="1:79" ht="11.25" x14ac:dyDescent="0.15">
      <c r="B55" s="5" t="s">
        <v>32</v>
      </c>
      <c r="C55" s="5"/>
      <c r="D55" s="34">
        <f t="shared" ref="D55" si="19">SUM(D25:D54)</f>
        <v>968487</v>
      </c>
      <c r="E55" s="34">
        <f t="shared" ref="E55:I55" si="20">SUM(E25:E54)</f>
        <v>968487</v>
      </c>
      <c r="F55" s="34">
        <f t="shared" si="20"/>
        <v>1014087</v>
      </c>
      <c r="G55" s="34">
        <f t="shared" si="20"/>
        <v>1059087</v>
      </c>
      <c r="H55" s="34">
        <f t="shared" si="20"/>
        <v>970170</v>
      </c>
      <c r="I55" s="34">
        <f t="shared" si="20"/>
        <v>961570</v>
      </c>
      <c r="J55" s="34">
        <f t="shared" ref="J55" si="21">SUM(J25:J54)</f>
        <v>961670</v>
      </c>
      <c r="K55" s="34">
        <v>873661</v>
      </c>
      <c r="L55" s="25">
        <f t="shared" si="5"/>
        <v>370340</v>
      </c>
      <c r="M55" s="34">
        <f>SUM(M25:M54)</f>
        <v>503321</v>
      </c>
      <c r="N55" s="35"/>
      <c r="O55" s="35"/>
      <c r="P55" s="34">
        <f>SUM(P48+P54)</f>
        <v>756093</v>
      </c>
      <c r="Q55" s="35"/>
      <c r="R55" s="35"/>
      <c r="S55" s="36"/>
      <c r="T55" s="36"/>
      <c r="U55" s="36"/>
      <c r="V55" s="36"/>
      <c r="W55" s="36"/>
      <c r="X55" s="4"/>
      <c r="Y55" s="36"/>
      <c r="Z55" s="4"/>
      <c r="AA55" s="28"/>
      <c r="AB55" s="36"/>
      <c r="AC55" s="36"/>
      <c r="AD55" s="36"/>
      <c r="AE55" s="36"/>
      <c r="AF55" s="36"/>
      <c r="AG55" s="36"/>
      <c r="AH55" s="35"/>
      <c r="AI55" s="35">
        <f>SUM(AI25:AI54)</f>
        <v>305119</v>
      </c>
      <c r="AJ55" s="36">
        <f>SUM(AJ25:AJ54)</f>
        <v>551084</v>
      </c>
      <c r="AK55" s="35"/>
      <c r="AL55" s="25">
        <f t="shared" si="13"/>
        <v>0</v>
      </c>
      <c r="AM55" s="25">
        <f t="shared" si="18"/>
        <v>-93509</v>
      </c>
      <c r="AN55" s="4"/>
      <c r="AO55" s="36">
        <f>SUM(AO25:AO54)</f>
        <v>93509</v>
      </c>
      <c r="AP55" s="4"/>
      <c r="AQ55" s="36">
        <f>SUM(AQ25:AQ54)</f>
        <v>42020</v>
      </c>
      <c r="AR55" s="36">
        <f>SUM(AR25:AR54)</f>
        <v>-303100</v>
      </c>
      <c r="AS55" s="36"/>
      <c r="AT55" s="4"/>
      <c r="AV55" s="36">
        <f>SUM(AV25:AV54)</f>
        <v>385246</v>
      </c>
      <c r="AW55" s="36">
        <f>SUM(AW25:AW54)</f>
        <v>295356</v>
      </c>
      <c r="AX55" s="36">
        <f>SUM(AX25:AX54)</f>
        <v>288404</v>
      </c>
      <c r="AY55" s="36">
        <f>SUM(AY25:AY54)</f>
        <v>69065</v>
      </c>
      <c r="AZ55" s="37">
        <f>SUM(AZ24:AZ54)</f>
        <v>343435</v>
      </c>
      <c r="BA55" s="35">
        <f t="shared" ref="BA55:BG55" si="22">SUM(BA25:BA54)</f>
        <v>271618</v>
      </c>
      <c r="BB55" s="36">
        <f t="shared" si="22"/>
        <v>245322</v>
      </c>
      <c r="BC55" s="29">
        <f t="shared" si="22"/>
        <v>-69558</v>
      </c>
      <c r="BD55" s="37">
        <f t="shared" si="22"/>
        <v>406180</v>
      </c>
      <c r="BE55" s="35">
        <f t="shared" si="22"/>
        <v>284918</v>
      </c>
      <c r="BF55" s="37">
        <f t="shared" si="22"/>
        <v>339070</v>
      </c>
      <c r="BG55" s="35">
        <f t="shared" si="22"/>
        <v>281997</v>
      </c>
      <c r="BH55" s="35"/>
      <c r="BI55" s="25"/>
      <c r="BJ55" s="25"/>
      <c r="BN55" s="36">
        <f>SUM(BN25:BN54)</f>
        <v>754421</v>
      </c>
      <c r="BZ55" s="25"/>
      <c r="CA55" s="25"/>
    </row>
    <row r="56" spans="1:79" ht="11.25" x14ac:dyDescent="0.15">
      <c r="B56" s="5"/>
      <c r="C56" s="5"/>
      <c r="D56" s="34"/>
      <c r="E56" s="34"/>
      <c r="F56" s="34"/>
      <c r="G56" s="34"/>
      <c r="H56" s="34"/>
      <c r="I56" s="34"/>
      <c r="J56" s="34"/>
      <c r="K56" s="34"/>
      <c r="L56" s="25"/>
      <c r="M56" s="34"/>
      <c r="N56" s="35"/>
      <c r="O56" s="35"/>
      <c r="P56" s="34"/>
      <c r="Q56" s="35"/>
      <c r="R56" s="35"/>
      <c r="S56" s="36"/>
      <c r="T56" s="36"/>
      <c r="U56" s="36"/>
      <c r="V56" s="36"/>
      <c r="W56" s="36"/>
      <c r="X56" s="4"/>
      <c r="Y56" s="36"/>
      <c r="Z56" s="4"/>
      <c r="AA56" s="28"/>
      <c r="AB56" s="36"/>
      <c r="AC56" s="36"/>
      <c r="AD56" s="36"/>
      <c r="AE56" s="36"/>
      <c r="AF56" s="36"/>
      <c r="AG56" s="36"/>
      <c r="AH56" s="35"/>
      <c r="AI56" s="35"/>
      <c r="AJ56" s="35"/>
      <c r="AK56" s="35"/>
      <c r="AL56" s="25"/>
      <c r="AM56" s="25"/>
      <c r="AN56" s="4"/>
      <c r="AO56" s="36"/>
      <c r="AP56" s="4"/>
      <c r="AQ56" s="36"/>
      <c r="AR56" s="36"/>
      <c r="AS56" s="36"/>
      <c r="AT56" s="4"/>
      <c r="AV56" s="36"/>
      <c r="AW56" s="36"/>
      <c r="AX56" s="36"/>
      <c r="AY56" s="36"/>
      <c r="AZ56" s="37"/>
      <c r="BA56" s="35"/>
      <c r="BB56" s="36"/>
      <c r="BC56" s="29"/>
      <c r="BD56" s="37"/>
      <c r="BE56" s="35"/>
      <c r="BF56" s="37"/>
      <c r="BG56" s="35"/>
      <c r="BH56" s="35"/>
      <c r="BI56" s="25"/>
      <c r="BJ56" s="25"/>
      <c r="BN56" s="36"/>
    </row>
    <row r="57" spans="1:79" ht="11.25" x14ac:dyDescent="0.15">
      <c r="B57" s="5" t="s">
        <v>66</v>
      </c>
      <c r="C57" s="5"/>
      <c r="D57" s="3"/>
      <c r="E57" s="3"/>
      <c r="F57" s="3"/>
      <c r="G57" s="3"/>
      <c r="H57" s="3"/>
      <c r="I57" s="3"/>
      <c r="J57" s="3"/>
      <c r="K57" s="3"/>
      <c r="L57" s="25"/>
      <c r="M57" s="3"/>
      <c r="P57" s="3"/>
      <c r="S57" s="32"/>
      <c r="T57" s="32"/>
      <c r="U57" s="32"/>
      <c r="V57" s="32"/>
      <c r="W57" s="32"/>
      <c r="X57" s="4"/>
      <c r="Y57" s="29"/>
      <c r="Z57" s="4"/>
      <c r="AA57" s="28"/>
      <c r="AB57" s="32"/>
      <c r="AC57" s="32"/>
      <c r="AD57" s="32"/>
      <c r="AE57" s="32"/>
      <c r="AF57" s="32"/>
      <c r="AG57" s="32"/>
      <c r="AL57" s="25">
        <f t="shared" si="13"/>
        <v>0</v>
      </c>
      <c r="AM57" s="25">
        <f t="shared" si="18"/>
        <v>0</v>
      </c>
      <c r="AN57" s="4"/>
      <c r="AO57" s="29"/>
      <c r="AP57" s="4"/>
      <c r="AQ57" s="32"/>
      <c r="AR57" s="32"/>
      <c r="AS57" s="32"/>
      <c r="AT57" s="4"/>
      <c r="AV57" s="32"/>
      <c r="AW57" s="29"/>
      <c r="AX57" s="32"/>
      <c r="AY57" s="32"/>
      <c r="AZ57" s="27"/>
      <c r="BA57" s="25"/>
      <c r="BB57" s="32"/>
      <c r="BC57" s="29"/>
      <c r="BD57" s="27"/>
      <c r="BF57" s="27"/>
      <c r="BN57" s="32"/>
      <c r="BZ57" s="25"/>
    </row>
    <row r="58" spans="1:79" ht="11.25" x14ac:dyDescent="0.15">
      <c r="A58" s="4">
        <v>2210</v>
      </c>
      <c r="B58" s="4" t="s">
        <v>35</v>
      </c>
      <c r="D58" s="3">
        <v>100000</v>
      </c>
      <c r="E58" s="3">
        <v>100000</v>
      </c>
      <c r="F58" s="3">
        <v>200000</v>
      </c>
      <c r="G58" s="3">
        <v>200000</v>
      </c>
      <c r="H58" s="3">
        <v>100000</v>
      </c>
      <c r="I58" s="3">
        <v>50000</v>
      </c>
      <c r="J58" s="3">
        <v>50000</v>
      </c>
      <c r="K58" s="3">
        <v>35956</v>
      </c>
      <c r="L58" s="25">
        <f t="shared" si="5"/>
        <v>23487</v>
      </c>
      <c r="M58" s="3">
        <v>12469</v>
      </c>
      <c r="N58" s="25"/>
      <c r="O58" s="25"/>
      <c r="P58" s="3">
        <v>30071</v>
      </c>
      <c r="Q58" s="25"/>
      <c r="R58" s="25"/>
      <c r="S58" s="29"/>
      <c r="T58" s="29"/>
      <c r="U58" s="29"/>
      <c r="V58" s="29"/>
      <c r="W58" s="29"/>
      <c r="X58" s="4"/>
      <c r="Y58" s="29"/>
      <c r="Z58" s="4"/>
      <c r="AA58" s="28"/>
      <c r="AB58" s="29"/>
      <c r="AC58" s="29"/>
      <c r="AD58" s="29"/>
      <c r="AE58" s="29"/>
      <c r="AF58" s="29"/>
      <c r="AG58" s="29"/>
      <c r="AH58" s="25"/>
      <c r="AI58" s="25">
        <v>50000</v>
      </c>
      <c r="AJ58" s="29">
        <v>50000</v>
      </c>
      <c r="AK58" s="25"/>
      <c r="AL58" s="25">
        <f t="shared" si="13"/>
        <v>0</v>
      </c>
      <c r="AM58" s="25">
        <f t="shared" si="18"/>
        <v>0</v>
      </c>
      <c r="AN58" s="4"/>
      <c r="AO58" s="29"/>
      <c r="AP58" s="4"/>
      <c r="AQ58" s="29"/>
      <c r="AR58" s="29">
        <f t="shared" ref="AR58:AR68" si="23">AF58-AI58</f>
        <v>-50000</v>
      </c>
      <c r="AS58" s="29"/>
      <c r="AT58" s="4"/>
      <c r="AV58" s="29">
        <v>88100</v>
      </c>
      <c r="AW58" s="29">
        <v>88100</v>
      </c>
      <c r="AX58" s="29">
        <v>88100</v>
      </c>
      <c r="AY58" s="29"/>
      <c r="AZ58" s="27">
        <f>AW58+AY58</f>
        <v>88100</v>
      </c>
      <c r="BA58" s="25">
        <v>64862</v>
      </c>
      <c r="BB58" s="29">
        <v>5841</v>
      </c>
      <c r="BC58" s="29">
        <f>AV58-AZ58</f>
        <v>0</v>
      </c>
      <c r="BD58" s="27">
        <v>89402</v>
      </c>
      <c r="BE58" s="25">
        <v>50000</v>
      </c>
      <c r="BF58" s="27">
        <v>51195</v>
      </c>
      <c r="BG58" s="25">
        <v>50000</v>
      </c>
      <c r="BH58" s="25"/>
      <c r="BI58" s="25"/>
      <c r="BN58" s="29">
        <f t="shared" ref="BN58:BN68" si="24">BL58+BM58</f>
        <v>0</v>
      </c>
    </row>
    <row r="59" spans="1:79" ht="11.25" x14ac:dyDescent="0.15">
      <c r="A59" s="4">
        <v>2212</v>
      </c>
      <c r="B59" s="4" t="s">
        <v>67</v>
      </c>
      <c r="D59" s="3">
        <v>2500</v>
      </c>
      <c r="E59" s="3">
        <v>2500</v>
      </c>
      <c r="F59" s="3">
        <v>2500</v>
      </c>
      <c r="G59" s="3">
        <v>2500</v>
      </c>
      <c r="H59" s="3">
        <v>2500</v>
      </c>
      <c r="I59" s="3">
        <v>2500</v>
      </c>
      <c r="J59" s="3">
        <v>2500</v>
      </c>
      <c r="K59" s="3" t="s">
        <v>141</v>
      </c>
      <c r="L59" s="25" t="e">
        <f t="shared" si="5"/>
        <v>#VALUE!</v>
      </c>
      <c r="M59" s="3">
        <v>4023</v>
      </c>
      <c r="N59" s="25"/>
      <c r="O59" s="25"/>
      <c r="P59" s="3" t="s">
        <v>141</v>
      </c>
      <c r="Q59" s="25"/>
      <c r="R59" s="25"/>
      <c r="S59" s="29"/>
      <c r="T59" s="29"/>
      <c r="U59" s="29"/>
      <c r="V59" s="29"/>
      <c r="W59" s="29"/>
      <c r="X59" s="4"/>
      <c r="Y59" s="29"/>
      <c r="Z59" s="4"/>
      <c r="AA59" s="28"/>
      <c r="AB59" s="29"/>
      <c r="AC59" s="29"/>
      <c r="AD59" s="29"/>
      <c r="AE59" s="29"/>
      <c r="AF59" s="29"/>
      <c r="AG59" s="29"/>
      <c r="AH59" s="25"/>
      <c r="AI59" s="25">
        <v>1000</v>
      </c>
      <c r="AJ59" s="29">
        <v>1000</v>
      </c>
      <c r="AK59" s="25"/>
      <c r="AL59" s="25">
        <f t="shared" si="13"/>
        <v>0</v>
      </c>
      <c r="AM59" s="25">
        <f t="shared" si="18"/>
        <v>0</v>
      </c>
      <c r="AN59" s="4"/>
      <c r="AO59" s="29"/>
      <c r="AP59" s="4"/>
      <c r="AQ59" s="29"/>
      <c r="AR59" s="29">
        <f t="shared" si="23"/>
        <v>-1000</v>
      </c>
      <c r="AS59" s="29"/>
      <c r="AT59" s="4"/>
      <c r="AV59" s="29">
        <v>735</v>
      </c>
      <c r="AW59" s="29"/>
      <c r="AX59" s="29"/>
      <c r="AY59" s="29"/>
      <c r="AZ59" s="27">
        <v>735</v>
      </c>
      <c r="BA59" s="25"/>
      <c r="BB59" s="29"/>
      <c r="BC59" s="29">
        <f t="shared" ref="BC59:BC69" si="25">AI59-AZ59</f>
        <v>265</v>
      </c>
      <c r="BD59" s="27">
        <v>3413</v>
      </c>
      <c r="BE59" s="25">
        <v>1000</v>
      </c>
      <c r="BF59" s="27">
        <v>1000</v>
      </c>
      <c r="BG59" s="25">
        <v>1000</v>
      </c>
      <c r="BH59" s="25"/>
      <c r="BN59" s="29">
        <f t="shared" si="24"/>
        <v>0</v>
      </c>
    </row>
    <row r="60" spans="1:79" ht="11.25" x14ac:dyDescent="0.15">
      <c r="A60" s="4">
        <v>2220</v>
      </c>
      <c r="B60" s="4" t="s">
        <v>54</v>
      </c>
      <c r="D60" s="3">
        <v>14000</v>
      </c>
      <c r="E60" s="3">
        <v>14000</v>
      </c>
      <c r="F60" s="3">
        <v>14000</v>
      </c>
      <c r="G60" s="3">
        <v>14000</v>
      </c>
      <c r="H60" s="3">
        <v>14000</v>
      </c>
      <c r="I60" s="3">
        <v>14000</v>
      </c>
      <c r="J60" s="3">
        <v>14000</v>
      </c>
      <c r="K60" s="3">
        <v>14000</v>
      </c>
      <c r="L60" s="25">
        <f t="shared" si="5"/>
        <v>2000</v>
      </c>
      <c r="M60" s="3">
        <v>12000</v>
      </c>
      <c r="N60" s="25"/>
      <c r="O60" s="25"/>
      <c r="P60" s="3">
        <v>14000</v>
      </c>
      <c r="Q60" s="25"/>
      <c r="R60" s="25"/>
      <c r="S60" s="29"/>
      <c r="T60" s="29"/>
      <c r="U60" s="29"/>
      <c r="V60" s="29"/>
      <c r="W60" s="29"/>
      <c r="X60" s="4"/>
      <c r="Y60" s="29"/>
      <c r="Z60" s="4"/>
      <c r="AA60" s="28"/>
      <c r="AB60" s="29"/>
      <c r="AC60" s="29"/>
      <c r="AD60" s="29"/>
      <c r="AE60" s="29"/>
      <c r="AF60" s="29"/>
      <c r="AG60" s="29"/>
      <c r="AH60" s="25"/>
      <c r="AI60" s="25">
        <v>12000</v>
      </c>
      <c r="AJ60" s="29">
        <v>12000</v>
      </c>
      <c r="AK60" s="25"/>
      <c r="AL60" s="25">
        <f t="shared" si="13"/>
        <v>0</v>
      </c>
      <c r="AM60" s="25">
        <f t="shared" si="18"/>
        <v>-6000</v>
      </c>
      <c r="AN60" s="4"/>
      <c r="AO60" s="29">
        <v>6000</v>
      </c>
      <c r="AP60" s="4"/>
      <c r="AQ60" s="29"/>
      <c r="AR60" s="29">
        <f t="shared" si="23"/>
        <v>-12000</v>
      </c>
      <c r="AS60" s="29"/>
      <c r="AT60" s="4"/>
      <c r="AV60" s="29">
        <v>12000</v>
      </c>
      <c r="AW60" s="29">
        <v>6000</v>
      </c>
      <c r="AX60" s="29">
        <v>6000</v>
      </c>
      <c r="AY60" s="29">
        <v>6000</v>
      </c>
      <c r="AZ60" s="27">
        <f>AW60+AY60</f>
        <v>12000</v>
      </c>
      <c r="BA60" s="25">
        <v>6000</v>
      </c>
      <c r="BB60" s="29">
        <v>5539</v>
      </c>
      <c r="BC60" s="29">
        <f t="shared" si="25"/>
        <v>0</v>
      </c>
      <c r="BD60" s="27">
        <v>12000</v>
      </c>
      <c r="BE60" s="25">
        <v>10000</v>
      </c>
      <c r="BF60" s="27">
        <v>12000</v>
      </c>
      <c r="BG60" s="25">
        <v>12000</v>
      </c>
      <c r="BH60" s="25"/>
      <c r="BN60" s="29">
        <f t="shared" si="24"/>
        <v>0</v>
      </c>
    </row>
    <row r="61" spans="1:79" ht="11.25" x14ac:dyDescent="0.15">
      <c r="B61" s="4" t="s">
        <v>68</v>
      </c>
      <c r="D61" s="3">
        <v>5000</v>
      </c>
      <c r="E61" s="3">
        <v>5000</v>
      </c>
      <c r="F61" s="3">
        <v>5000</v>
      </c>
      <c r="G61" s="3">
        <v>5000</v>
      </c>
      <c r="H61" s="3">
        <v>5000</v>
      </c>
      <c r="I61" s="3">
        <v>5000</v>
      </c>
      <c r="J61" s="3">
        <v>5000</v>
      </c>
      <c r="K61" s="3">
        <v>0</v>
      </c>
      <c r="L61" s="25">
        <f t="shared" si="5"/>
        <v>0</v>
      </c>
      <c r="M61" s="3">
        <v>0</v>
      </c>
      <c r="N61" s="25"/>
      <c r="O61" s="25"/>
      <c r="P61" s="3">
        <v>0</v>
      </c>
      <c r="Q61" s="25"/>
      <c r="R61" s="25"/>
      <c r="S61" s="29"/>
      <c r="T61" s="29"/>
      <c r="U61" s="29"/>
      <c r="V61" s="29"/>
      <c r="W61" s="29"/>
      <c r="X61" s="4"/>
      <c r="Y61" s="29"/>
      <c r="Z61" s="4"/>
      <c r="AA61" s="28"/>
      <c r="AB61" s="29"/>
      <c r="AC61" s="29"/>
      <c r="AD61" s="29"/>
      <c r="AE61" s="29"/>
      <c r="AF61" s="29"/>
      <c r="AG61" s="29"/>
      <c r="AH61" s="25"/>
      <c r="AI61" s="25">
        <v>0</v>
      </c>
      <c r="AJ61" s="29">
        <f>AQ61+AR61</f>
        <v>0</v>
      </c>
      <c r="AK61" s="25"/>
      <c r="AL61" s="25">
        <f t="shared" si="13"/>
        <v>0</v>
      </c>
      <c r="AM61" s="25">
        <f t="shared" si="18"/>
        <v>0</v>
      </c>
      <c r="AN61" s="4"/>
      <c r="AO61" s="29"/>
      <c r="AP61" s="4"/>
      <c r="AQ61" s="29"/>
      <c r="AR61" s="29">
        <f t="shared" si="23"/>
        <v>0</v>
      </c>
      <c r="AS61" s="29"/>
      <c r="AT61" s="4"/>
      <c r="AV61" s="29"/>
      <c r="AW61" s="29"/>
      <c r="AX61" s="29"/>
      <c r="AY61" s="29"/>
      <c r="AZ61" s="27">
        <f>AW61+AY61</f>
        <v>0</v>
      </c>
      <c r="BA61" s="25"/>
      <c r="BB61" s="29"/>
      <c r="BC61" s="29">
        <f t="shared" si="25"/>
        <v>0</v>
      </c>
      <c r="BD61" s="27">
        <v>6070</v>
      </c>
      <c r="BE61" s="25"/>
      <c r="BF61" s="27"/>
      <c r="BG61" s="25"/>
      <c r="BH61" s="25"/>
      <c r="BN61" s="29">
        <f t="shared" si="24"/>
        <v>0</v>
      </c>
    </row>
    <row r="62" spans="1:79" ht="11.25" x14ac:dyDescent="0.15">
      <c r="B62" s="4" t="s">
        <v>59</v>
      </c>
      <c r="D62" s="3">
        <v>10000</v>
      </c>
      <c r="E62" s="3">
        <v>10000</v>
      </c>
      <c r="F62" s="3">
        <v>10000</v>
      </c>
      <c r="G62" s="3">
        <v>10000</v>
      </c>
      <c r="H62" s="3">
        <v>10000</v>
      </c>
      <c r="I62" s="3">
        <v>10000</v>
      </c>
      <c r="J62" s="3">
        <v>10000</v>
      </c>
      <c r="K62" s="3">
        <v>8485</v>
      </c>
      <c r="L62" s="25">
        <f t="shared" si="5"/>
        <v>8485</v>
      </c>
      <c r="M62" s="3">
        <v>0</v>
      </c>
      <c r="N62" s="25"/>
      <c r="O62" s="25"/>
      <c r="P62" s="3">
        <v>0</v>
      </c>
      <c r="Q62" s="25"/>
      <c r="R62" s="25"/>
      <c r="S62" s="29"/>
      <c r="T62" s="29"/>
      <c r="U62" s="29"/>
      <c r="V62" s="29"/>
      <c r="W62" s="29"/>
      <c r="X62" s="4"/>
      <c r="Y62" s="29"/>
      <c r="Z62" s="4"/>
      <c r="AA62" s="28"/>
      <c r="AB62" s="29"/>
      <c r="AC62" s="29"/>
      <c r="AD62" s="29"/>
      <c r="AE62" s="29"/>
      <c r="AF62" s="29"/>
      <c r="AG62" s="29"/>
      <c r="AH62" s="25"/>
      <c r="AI62" s="25">
        <v>0</v>
      </c>
      <c r="AJ62" s="29">
        <v>30000</v>
      </c>
      <c r="AK62" s="25"/>
      <c r="AL62" s="25">
        <f t="shared" si="13"/>
        <v>0</v>
      </c>
      <c r="AM62" s="25">
        <f t="shared" si="18"/>
        <v>0</v>
      </c>
      <c r="AN62" s="4"/>
      <c r="AO62" s="29"/>
      <c r="AP62" s="4"/>
      <c r="AQ62" s="29"/>
      <c r="AR62" s="29">
        <f t="shared" si="23"/>
        <v>0</v>
      </c>
      <c r="AS62" s="29"/>
      <c r="AT62" s="4"/>
      <c r="AV62" s="29">
        <v>34393</v>
      </c>
      <c r="AW62" s="29"/>
      <c r="AX62" s="29"/>
      <c r="AY62" s="29">
        <v>30000</v>
      </c>
      <c r="AZ62" s="27">
        <v>34393</v>
      </c>
      <c r="BA62" s="25"/>
      <c r="BB62" s="29"/>
      <c r="BC62" s="29">
        <f t="shared" si="25"/>
        <v>-34393</v>
      </c>
      <c r="BD62" s="27">
        <v>28592</v>
      </c>
      <c r="BE62" s="25">
        <v>15000</v>
      </c>
      <c r="BF62" s="27"/>
      <c r="BG62" s="25">
        <v>15000</v>
      </c>
      <c r="BH62" s="25"/>
      <c r="BN62" s="29">
        <f t="shared" si="24"/>
        <v>0</v>
      </c>
    </row>
    <row r="63" spans="1:79" ht="11.25" x14ac:dyDescent="0.15">
      <c r="B63" s="4" t="s">
        <v>69</v>
      </c>
      <c r="D63" s="3">
        <v>4500</v>
      </c>
      <c r="E63" s="3">
        <v>4500</v>
      </c>
      <c r="F63" s="3">
        <v>4500</v>
      </c>
      <c r="G63" s="3">
        <v>4500</v>
      </c>
      <c r="H63" s="3">
        <v>4500</v>
      </c>
      <c r="I63" s="3">
        <v>4500</v>
      </c>
      <c r="J63" s="3">
        <v>4500</v>
      </c>
      <c r="K63" s="3">
        <v>4000</v>
      </c>
      <c r="L63" s="25">
        <f t="shared" si="5"/>
        <v>4000</v>
      </c>
      <c r="M63" s="3">
        <v>0</v>
      </c>
      <c r="N63" s="25"/>
      <c r="O63" s="25"/>
      <c r="P63" s="3">
        <v>4000</v>
      </c>
      <c r="Q63" s="25"/>
      <c r="R63" s="25"/>
      <c r="S63" s="29"/>
      <c r="T63" s="29"/>
      <c r="U63" s="29"/>
      <c r="V63" s="29"/>
      <c r="W63" s="29"/>
      <c r="X63" s="4"/>
      <c r="Y63" s="29"/>
      <c r="Z63" s="4"/>
      <c r="AA63" s="28"/>
      <c r="AB63" s="29"/>
      <c r="AC63" s="29"/>
      <c r="AD63" s="29"/>
      <c r="AE63" s="29"/>
      <c r="AF63" s="29"/>
      <c r="AG63" s="29"/>
      <c r="AH63" s="25"/>
      <c r="AI63" s="25">
        <v>4500</v>
      </c>
      <c r="AJ63" s="29">
        <v>4500</v>
      </c>
      <c r="AK63" s="25"/>
      <c r="AL63" s="25">
        <f t="shared" si="13"/>
        <v>0</v>
      </c>
      <c r="AM63" s="25">
        <f t="shared" si="18"/>
        <v>0</v>
      </c>
      <c r="AN63" s="4"/>
      <c r="AO63" s="29"/>
      <c r="AP63" s="4"/>
      <c r="AQ63" s="29"/>
      <c r="AR63" s="29">
        <f t="shared" si="23"/>
        <v>-4500</v>
      </c>
      <c r="AS63" s="29"/>
      <c r="AT63" s="4"/>
      <c r="AV63" s="29">
        <v>0</v>
      </c>
      <c r="AW63" s="29"/>
      <c r="AX63" s="29"/>
      <c r="AY63" s="29"/>
      <c r="AZ63" s="27">
        <f>AW63+AY63</f>
        <v>0</v>
      </c>
      <c r="BA63" s="25"/>
      <c r="BB63" s="29"/>
      <c r="BC63" s="29">
        <f t="shared" si="25"/>
        <v>4500</v>
      </c>
      <c r="BD63" s="27">
        <v>4500</v>
      </c>
      <c r="BE63" s="25">
        <v>4500</v>
      </c>
      <c r="BF63" s="27">
        <v>4500</v>
      </c>
      <c r="BG63" s="25">
        <v>4500</v>
      </c>
      <c r="BH63" s="25"/>
      <c r="BN63" s="29">
        <f t="shared" si="24"/>
        <v>0</v>
      </c>
    </row>
    <row r="64" spans="1:79" ht="11.25" x14ac:dyDescent="0.15">
      <c r="A64" s="4">
        <v>2227</v>
      </c>
      <c r="B64" s="4" t="s">
        <v>74</v>
      </c>
      <c r="D64" s="3">
        <v>10000</v>
      </c>
      <c r="E64" s="3">
        <v>10000</v>
      </c>
      <c r="F64" s="3">
        <v>10000</v>
      </c>
      <c r="G64" s="3">
        <v>10000</v>
      </c>
      <c r="H64" s="3">
        <v>10000</v>
      </c>
      <c r="I64" s="3">
        <v>10000</v>
      </c>
      <c r="J64" s="3">
        <v>10000</v>
      </c>
      <c r="K64" s="3">
        <v>4500</v>
      </c>
      <c r="L64" s="25">
        <f t="shared" si="5"/>
        <v>4500</v>
      </c>
      <c r="M64" s="3"/>
      <c r="N64" s="25"/>
      <c r="O64" s="25"/>
      <c r="P64" s="3">
        <v>4500</v>
      </c>
      <c r="Q64" s="25"/>
      <c r="R64" s="25"/>
      <c r="S64" s="29"/>
      <c r="T64" s="29"/>
      <c r="U64" s="29"/>
      <c r="V64" s="29"/>
      <c r="W64" s="29"/>
      <c r="X64" s="4"/>
      <c r="Y64" s="29"/>
      <c r="Z64" s="4"/>
      <c r="AA64" s="28"/>
      <c r="AB64" s="29"/>
      <c r="AC64" s="29"/>
      <c r="AD64" s="29"/>
      <c r="AE64" s="29"/>
      <c r="AF64" s="29"/>
      <c r="AG64" s="29"/>
      <c r="AH64" s="25"/>
      <c r="AI64" s="25"/>
      <c r="AJ64" s="29"/>
      <c r="AK64" s="25"/>
      <c r="AL64" s="25"/>
      <c r="AM64" s="25"/>
      <c r="AN64" s="4"/>
      <c r="AO64" s="29"/>
      <c r="AP64" s="4"/>
      <c r="AQ64" s="29"/>
      <c r="AR64" s="29"/>
      <c r="AS64" s="29"/>
      <c r="AT64" s="4"/>
      <c r="AV64" s="29"/>
      <c r="AW64" s="29"/>
      <c r="AX64" s="29"/>
      <c r="AY64" s="29"/>
      <c r="AZ64" s="27"/>
      <c r="BA64" s="25"/>
      <c r="BB64" s="29"/>
      <c r="BC64" s="29"/>
      <c r="BD64" s="27"/>
      <c r="BE64" s="25"/>
      <c r="BF64" s="27"/>
      <c r="BG64" s="25"/>
      <c r="BH64" s="25"/>
      <c r="BN64" s="29"/>
    </row>
    <row r="65" spans="1:66" ht="11.25" x14ac:dyDescent="0.15">
      <c r="A65" s="4">
        <v>2230</v>
      </c>
      <c r="B65" s="4" t="s">
        <v>38</v>
      </c>
      <c r="D65" s="3">
        <v>45000</v>
      </c>
      <c r="E65" s="3">
        <v>45000</v>
      </c>
      <c r="F65" s="3">
        <v>45000</v>
      </c>
      <c r="G65" s="3">
        <v>45000</v>
      </c>
      <c r="H65" s="3">
        <v>45000</v>
      </c>
      <c r="I65" s="3">
        <v>45000</v>
      </c>
      <c r="J65" s="3">
        <v>45000</v>
      </c>
      <c r="K65" s="3">
        <v>13590</v>
      </c>
      <c r="L65" s="25">
        <f t="shared" si="5"/>
        <v>-6993</v>
      </c>
      <c r="M65" s="3">
        <f>22898-2315</f>
        <v>20583</v>
      </c>
      <c r="N65" s="25"/>
      <c r="O65" s="25"/>
      <c r="P65" s="3">
        <v>14000</v>
      </c>
      <c r="Q65" s="25"/>
      <c r="R65" s="25"/>
      <c r="S65" s="29"/>
      <c r="T65" s="29"/>
      <c r="U65" s="29"/>
      <c r="V65" s="29"/>
      <c r="W65" s="29"/>
      <c r="X65" s="4"/>
      <c r="Y65" s="29"/>
      <c r="Z65" s="4"/>
      <c r="AA65" s="28"/>
      <c r="AB65" s="29"/>
      <c r="AC65" s="29"/>
      <c r="AD65" s="29"/>
      <c r="AE65" s="29"/>
      <c r="AF65" s="29"/>
      <c r="AG65" s="29"/>
      <c r="AH65" s="25"/>
      <c r="AI65" s="25">
        <v>10000</v>
      </c>
      <c r="AJ65" s="29">
        <v>10000</v>
      </c>
      <c r="AK65" s="25"/>
      <c r="AL65" s="25">
        <f t="shared" si="13"/>
        <v>0</v>
      </c>
      <c r="AM65" s="25">
        <f t="shared" si="18"/>
        <v>-2138</v>
      </c>
      <c r="AN65" s="4"/>
      <c r="AO65" s="29">
        <f>4577-2439</f>
        <v>2138</v>
      </c>
      <c r="AP65" s="4"/>
      <c r="AQ65" s="29"/>
      <c r="AR65" s="29">
        <f t="shared" si="23"/>
        <v>-10000</v>
      </c>
      <c r="AS65" s="29"/>
      <c r="AT65" s="4"/>
      <c r="AV65" s="29">
        <v>6595</v>
      </c>
      <c r="AW65" s="29">
        <v>1990</v>
      </c>
      <c r="AX65" s="29">
        <v>1990</v>
      </c>
      <c r="AY65" s="29">
        <v>5000</v>
      </c>
      <c r="AZ65" s="27">
        <v>6595</v>
      </c>
      <c r="BA65" s="25">
        <v>1990</v>
      </c>
      <c r="BB65" s="29">
        <v>2451</v>
      </c>
      <c r="BC65" s="29">
        <f t="shared" si="25"/>
        <v>3405</v>
      </c>
      <c r="BD65" s="27">
        <v>11862</v>
      </c>
      <c r="BE65" s="25">
        <v>10000</v>
      </c>
      <c r="BF65" s="27">
        <v>7654</v>
      </c>
      <c r="BG65" s="25">
        <v>10000</v>
      </c>
      <c r="BH65" s="25"/>
      <c r="BN65" s="29">
        <f t="shared" si="24"/>
        <v>0</v>
      </c>
    </row>
    <row r="66" spans="1:66" ht="11.25" hidden="1" x14ac:dyDescent="0.15">
      <c r="B66" s="4" t="s">
        <v>60</v>
      </c>
      <c r="D66" s="3"/>
      <c r="E66" s="3"/>
      <c r="F66" s="3"/>
      <c r="G66" s="3"/>
      <c r="H66" s="3"/>
      <c r="I66" s="3"/>
      <c r="J66" s="3"/>
      <c r="K66" s="3"/>
      <c r="L66" s="25">
        <f t="shared" si="5"/>
        <v>0</v>
      </c>
      <c r="M66" s="3"/>
      <c r="N66" s="25"/>
      <c r="O66" s="25"/>
      <c r="P66" s="3"/>
      <c r="Q66" s="25"/>
      <c r="R66" s="25"/>
      <c r="S66" s="29"/>
      <c r="T66" s="29"/>
      <c r="U66" s="29"/>
      <c r="V66" s="29"/>
      <c r="W66" s="29"/>
      <c r="X66" s="4"/>
      <c r="Y66" s="29"/>
      <c r="Z66" s="4"/>
      <c r="AA66" s="28"/>
      <c r="AB66" s="29"/>
      <c r="AC66" s="29"/>
      <c r="AD66" s="29"/>
      <c r="AE66" s="29"/>
      <c r="AF66" s="29"/>
      <c r="AG66" s="29"/>
      <c r="AH66" s="25"/>
      <c r="AI66" s="25">
        <v>0</v>
      </c>
      <c r="AJ66" s="29">
        <f>AQ66+AR66</f>
        <v>0</v>
      </c>
      <c r="AK66" s="25"/>
      <c r="AL66" s="25">
        <f t="shared" si="13"/>
        <v>0</v>
      </c>
      <c r="AM66" s="25">
        <f t="shared" si="18"/>
        <v>0</v>
      </c>
      <c r="AN66" s="4"/>
      <c r="AO66" s="29"/>
      <c r="AP66" s="4"/>
      <c r="AQ66" s="29"/>
      <c r="AR66" s="29">
        <f t="shared" si="23"/>
        <v>0</v>
      </c>
      <c r="AS66" s="29"/>
      <c r="AT66" s="4"/>
      <c r="AV66" s="29"/>
      <c r="AW66" s="29"/>
      <c r="AX66" s="29"/>
      <c r="AY66" s="29"/>
      <c r="AZ66" s="27">
        <f>AW66+AY66</f>
        <v>0</v>
      </c>
      <c r="BA66" s="25"/>
      <c r="BB66" s="29"/>
      <c r="BC66" s="29">
        <f t="shared" si="25"/>
        <v>0</v>
      </c>
      <c r="BD66" s="27">
        <v>0</v>
      </c>
      <c r="BE66" s="25">
        <v>5000</v>
      </c>
      <c r="BF66" s="27"/>
      <c r="BG66" s="25">
        <v>5000</v>
      </c>
      <c r="BH66" s="25"/>
      <c r="BN66" s="29">
        <f t="shared" si="24"/>
        <v>0</v>
      </c>
    </row>
    <row r="67" spans="1:66" ht="11.25" x14ac:dyDescent="0.15">
      <c r="B67" s="4" t="s">
        <v>61</v>
      </c>
      <c r="D67" s="3">
        <v>5000</v>
      </c>
      <c r="E67" s="3">
        <v>5000</v>
      </c>
      <c r="F67" s="3">
        <v>5000</v>
      </c>
      <c r="G67" s="3">
        <v>5000</v>
      </c>
      <c r="H67" s="3">
        <v>5000</v>
      </c>
      <c r="I67" s="3">
        <v>5000</v>
      </c>
      <c r="J67" s="3">
        <v>5000</v>
      </c>
      <c r="K67" s="3">
        <v>5000</v>
      </c>
      <c r="L67" s="25">
        <f t="shared" si="5"/>
        <v>5000</v>
      </c>
      <c r="M67" s="3">
        <v>0</v>
      </c>
      <c r="N67" s="25"/>
      <c r="O67" s="25"/>
      <c r="P67" s="3">
        <v>5000</v>
      </c>
      <c r="Q67" s="25"/>
      <c r="R67" s="25"/>
      <c r="S67" s="29"/>
      <c r="T67" s="29"/>
      <c r="U67" s="29"/>
      <c r="V67" s="29"/>
      <c r="W67" s="29"/>
      <c r="X67" s="4"/>
      <c r="Y67" s="29"/>
      <c r="Z67" s="4"/>
      <c r="AA67" s="28"/>
      <c r="AB67" s="29"/>
      <c r="AC67" s="29"/>
      <c r="AD67" s="29"/>
      <c r="AE67" s="29"/>
      <c r="AF67" s="29"/>
      <c r="AG67" s="29"/>
      <c r="AH67" s="25"/>
      <c r="AI67" s="25">
        <v>5000</v>
      </c>
      <c r="AJ67" s="29">
        <v>5000</v>
      </c>
      <c r="AK67" s="25"/>
      <c r="AL67" s="25">
        <f t="shared" si="13"/>
        <v>0</v>
      </c>
      <c r="AM67" s="25">
        <f t="shared" si="18"/>
        <v>0</v>
      </c>
      <c r="AN67" s="4"/>
      <c r="AO67" s="29"/>
      <c r="AP67" s="4"/>
      <c r="AQ67" s="29"/>
      <c r="AR67" s="29">
        <f t="shared" si="23"/>
        <v>-5000</v>
      </c>
      <c r="AS67" s="29"/>
      <c r="AT67" s="4"/>
      <c r="AV67" s="29"/>
      <c r="AW67" s="29"/>
      <c r="AX67" s="29"/>
      <c r="AY67" s="29"/>
      <c r="AZ67" s="27">
        <f>AW67+AY67</f>
        <v>0</v>
      </c>
      <c r="BA67" s="25"/>
      <c r="BB67" s="29"/>
      <c r="BC67" s="29">
        <f t="shared" si="25"/>
        <v>5000</v>
      </c>
      <c r="BD67" s="27">
        <v>0</v>
      </c>
      <c r="BE67" s="25">
        <v>5000</v>
      </c>
      <c r="BF67" s="27">
        <v>1617.8</v>
      </c>
      <c r="BG67" s="25">
        <v>5000</v>
      </c>
      <c r="BH67" s="25"/>
      <c r="BN67" s="29">
        <f t="shared" si="24"/>
        <v>0</v>
      </c>
    </row>
    <row r="68" spans="1:66" ht="11.25" x14ac:dyDescent="0.15">
      <c r="A68" s="4">
        <v>2310</v>
      </c>
      <c r="B68" s="4" t="s">
        <v>75</v>
      </c>
      <c r="D68" s="3">
        <v>96431</v>
      </c>
      <c r="E68" s="3">
        <v>96431</v>
      </c>
      <c r="F68" s="3">
        <v>96431</v>
      </c>
      <c r="G68" s="3">
        <v>96431</v>
      </c>
      <c r="H68" s="3">
        <v>96431</v>
      </c>
      <c r="I68" s="3">
        <v>96431</v>
      </c>
      <c r="J68" s="3">
        <v>96431</v>
      </c>
      <c r="K68" s="3">
        <v>96431</v>
      </c>
      <c r="L68" s="25">
        <f t="shared" si="5"/>
        <v>0</v>
      </c>
      <c r="M68" s="3">
        <v>96431</v>
      </c>
      <c r="N68" s="25"/>
      <c r="O68" s="25"/>
      <c r="P68" s="3">
        <v>96431</v>
      </c>
      <c r="Q68" s="25"/>
      <c r="R68" s="25"/>
      <c r="S68" s="29"/>
      <c r="T68" s="29"/>
      <c r="U68" s="29"/>
      <c r="V68" s="29"/>
      <c r="W68" s="29"/>
      <c r="X68" s="4"/>
      <c r="Y68" s="29"/>
      <c r="Z68" s="4"/>
      <c r="AA68" s="28"/>
      <c r="AB68" s="29"/>
      <c r="AC68" s="29"/>
      <c r="AD68" s="29"/>
      <c r="AE68" s="29"/>
      <c r="AF68" s="29"/>
      <c r="AG68" s="29"/>
      <c r="AH68" s="25"/>
      <c r="AI68" s="25">
        <v>101000</v>
      </c>
      <c r="AJ68" s="29">
        <v>97000</v>
      </c>
      <c r="AK68" s="25"/>
      <c r="AL68" s="25">
        <f t="shared" si="13"/>
        <v>0</v>
      </c>
      <c r="AM68" s="25">
        <f t="shared" si="18"/>
        <v>0</v>
      </c>
      <c r="AN68" s="4"/>
      <c r="AO68" s="29"/>
      <c r="AP68" s="4"/>
      <c r="AQ68" s="29"/>
      <c r="AR68" s="29">
        <f t="shared" si="23"/>
        <v>-101000</v>
      </c>
      <c r="AS68" s="29"/>
      <c r="AT68" s="4"/>
      <c r="AV68" s="29">
        <v>96431</v>
      </c>
      <c r="AW68" s="29">
        <v>96431</v>
      </c>
      <c r="AX68" s="29">
        <v>96431</v>
      </c>
      <c r="AY68" s="29"/>
      <c r="AZ68" s="27">
        <f>AW68+AY68</f>
        <v>96431</v>
      </c>
      <c r="BA68" s="25">
        <v>96431</v>
      </c>
      <c r="BB68" s="29">
        <v>96431</v>
      </c>
      <c r="BC68" s="29">
        <f t="shared" si="25"/>
        <v>4569</v>
      </c>
      <c r="BD68" s="27">
        <v>96431</v>
      </c>
      <c r="BE68" s="25">
        <f>23220+77780</f>
        <v>101000</v>
      </c>
      <c r="BF68" s="27">
        <f>23220+73211</f>
        <v>96431</v>
      </c>
      <c r="BG68" s="25">
        <f>23220+73000</f>
        <v>96220</v>
      </c>
      <c r="BH68" s="25"/>
      <c r="BN68" s="29">
        <f t="shared" si="24"/>
        <v>0</v>
      </c>
    </row>
    <row r="69" spans="1:66" ht="11.25" x14ac:dyDescent="0.15">
      <c r="B69" s="4" t="s">
        <v>140</v>
      </c>
      <c r="D69" s="3">
        <v>-73211</v>
      </c>
      <c r="E69" s="3">
        <v>-73211</v>
      </c>
      <c r="F69" s="3">
        <v>-73211</v>
      </c>
      <c r="G69" s="3">
        <v>-54708</v>
      </c>
      <c r="H69" s="3"/>
      <c r="I69" s="3"/>
      <c r="J69" s="3"/>
      <c r="K69" s="3"/>
      <c r="L69" s="25">
        <f t="shared" si="5"/>
        <v>0</v>
      </c>
      <c r="M69" s="3"/>
      <c r="N69" s="25"/>
      <c r="O69" s="25"/>
      <c r="P69" s="3"/>
      <c r="Q69" s="25"/>
      <c r="R69" s="25"/>
      <c r="S69" s="29"/>
      <c r="T69" s="29"/>
      <c r="U69" s="29"/>
      <c r="V69" s="29"/>
      <c r="W69" s="29"/>
      <c r="X69" s="4"/>
      <c r="Y69" s="29"/>
      <c r="Z69" s="4"/>
      <c r="AA69" s="28"/>
      <c r="AB69" s="29"/>
      <c r="AC69" s="29"/>
      <c r="AD69" s="29"/>
      <c r="AE69" s="29"/>
      <c r="AF69" s="29"/>
      <c r="AG69" s="29"/>
      <c r="AH69" s="25"/>
      <c r="AI69" s="25"/>
      <c r="AJ69" s="25"/>
      <c r="AK69" s="25"/>
      <c r="AL69" s="25">
        <f t="shared" si="13"/>
        <v>0</v>
      </c>
      <c r="AM69" s="25">
        <f t="shared" si="18"/>
        <v>0</v>
      </c>
      <c r="AN69" s="4"/>
      <c r="AO69" s="29"/>
      <c r="AP69" s="4"/>
      <c r="AQ69" s="29"/>
      <c r="AR69" s="29"/>
      <c r="AS69" s="29"/>
      <c r="AT69" s="4"/>
      <c r="AV69" s="29"/>
      <c r="AW69" s="29"/>
      <c r="AX69" s="29"/>
      <c r="AY69" s="29"/>
      <c r="AZ69" s="27">
        <f>AW69+AY69</f>
        <v>0</v>
      </c>
      <c r="BA69" s="25"/>
      <c r="BB69" s="29"/>
      <c r="BC69" s="29">
        <f t="shared" si="25"/>
        <v>0</v>
      </c>
      <c r="BD69" s="37"/>
      <c r="BE69" s="25"/>
      <c r="BF69" s="27"/>
      <c r="BG69" s="25"/>
      <c r="BH69" s="25"/>
      <c r="BN69" s="29"/>
    </row>
    <row r="70" spans="1:66" ht="11.25" x14ac:dyDescent="0.15">
      <c r="B70" s="69" t="s">
        <v>164</v>
      </c>
      <c r="C70" s="69"/>
      <c r="D70" s="67" t="s">
        <v>141</v>
      </c>
      <c r="E70" s="67" t="s">
        <v>141</v>
      </c>
      <c r="F70" s="3">
        <v>100000</v>
      </c>
      <c r="G70" s="3">
        <v>50000</v>
      </c>
      <c r="H70" s="3" t="s">
        <v>141</v>
      </c>
      <c r="I70" s="3"/>
      <c r="J70" s="3"/>
      <c r="K70" s="3"/>
      <c r="L70" s="25">
        <f t="shared" si="5"/>
        <v>0</v>
      </c>
      <c r="M70" s="3"/>
      <c r="N70" s="25"/>
      <c r="O70" s="25"/>
      <c r="P70" s="3"/>
      <c r="Q70" s="25"/>
      <c r="R70" s="25"/>
      <c r="S70" s="29"/>
      <c r="T70" s="29"/>
      <c r="U70" s="29"/>
      <c r="V70" s="29"/>
      <c r="W70" s="29"/>
      <c r="X70" s="4"/>
      <c r="Y70" s="29"/>
      <c r="Z70" s="4"/>
      <c r="AA70" s="28"/>
      <c r="AB70" s="29"/>
      <c r="AC70" s="29"/>
      <c r="AD70" s="29"/>
      <c r="AE70" s="29"/>
      <c r="AF70" s="29"/>
      <c r="AG70" s="29"/>
      <c r="AH70" s="25"/>
      <c r="AI70" s="25"/>
      <c r="AJ70" s="25"/>
      <c r="AK70" s="25"/>
      <c r="AL70" s="25"/>
      <c r="AM70" s="25"/>
      <c r="AN70" s="4"/>
      <c r="AO70" s="29"/>
      <c r="AP70" s="4"/>
      <c r="AQ70" s="29"/>
      <c r="AR70" s="29"/>
      <c r="AS70" s="29"/>
      <c r="AT70" s="4"/>
      <c r="AV70" s="29"/>
      <c r="AW70" s="29"/>
      <c r="AX70" s="29"/>
      <c r="AY70" s="29"/>
      <c r="AZ70" s="27"/>
      <c r="BA70" s="25"/>
      <c r="BB70" s="29"/>
      <c r="BC70" s="29"/>
      <c r="BD70" s="37"/>
      <c r="BE70" s="25"/>
      <c r="BF70" s="27"/>
      <c r="BG70" s="25"/>
      <c r="BH70" s="25"/>
      <c r="BN70" s="29"/>
    </row>
    <row r="71" spans="1:66" ht="11.25" x14ac:dyDescent="0.15">
      <c r="B71" s="5" t="s">
        <v>76</v>
      </c>
      <c r="C71" s="5"/>
      <c r="D71" s="34">
        <f t="shared" ref="D71" si="26">SUM(D58:D70)</f>
        <v>219220</v>
      </c>
      <c r="E71" s="34">
        <f t="shared" ref="E71:K71" si="27">SUM(E58:E70)</f>
        <v>219220</v>
      </c>
      <c r="F71" s="34">
        <f t="shared" si="27"/>
        <v>419220</v>
      </c>
      <c r="G71" s="34">
        <f t="shared" si="27"/>
        <v>387723</v>
      </c>
      <c r="H71" s="34">
        <f t="shared" si="27"/>
        <v>292431</v>
      </c>
      <c r="I71" s="34">
        <f t="shared" si="27"/>
        <v>242431</v>
      </c>
      <c r="J71" s="34">
        <f t="shared" ref="J71" si="28">SUM(J58:J70)</f>
        <v>242431</v>
      </c>
      <c r="K71" s="34">
        <f t="shared" si="27"/>
        <v>181962</v>
      </c>
      <c r="L71" s="25">
        <f t="shared" si="5"/>
        <v>36456</v>
      </c>
      <c r="M71" s="34">
        <f>SUM(M58:M70)</f>
        <v>145506</v>
      </c>
      <c r="N71" s="35"/>
      <c r="O71" s="35"/>
      <c r="P71" s="34">
        <f>SUM(P58:P69)</f>
        <v>168002</v>
      </c>
      <c r="Q71" s="35"/>
      <c r="R71" s="35"/>
      <c r="S71" s="36"/>
      <c r="T71" s="36"/>
      <c r="U71" s="36"/>
      <c r="V71" s="36"/>
      <c r="W71" s="36"/>
      <c r="X71" s="4"/>
      <c r="Y71" s="36"/>
      <c r="Z71" s="4"/>
      <c r="AA71" s="28"/>
      <c r="AB71" s="36"/>
      <c r="AC71" s="36"/>
      <c r="AD71" s="36"/>
      <c r="AE71" s="36"/>
      <c r="AF71" s="36"/>
      <c r="AG71" s="36"/>
      <c r="AH71" s="35"/>
      <c r="AI71" s="35">
        <f>SUM(AI58:AI68)</f>
        <v>183500</v>
      </c>
      <c r="AJ71" s="35">
        <f>SUM(AJ58:AJ68)</f>
        <v>209500</v>
      </c>
      <c r="AK71" s="35"/>
      <c r="AL71" s="25">
        <f t="shared" si="13"/>
        <v>0</v>
      </c>
      <c r="AM71" s="25">
        <f t="shared" si="18"/>
        <v>-8138</v>
      </c>
      <c r="AN71" s="4"/>
      <c r="AO71" s="36">
        <f>SUM(AO58:AO68)</f>
        <v>8138</v>
      </c>
      <c r="AP71" s="4"/>
      <c r="AQ71" s="36">
        <f>SUM(AQ58:AQ68)</f>
        <v>0</v>
      </c>
      <c r="AR71" s="36">
        <f>SUM(AR58:AR68)</f>
        <v>-183500</v>
      </c>
      <c r="AS71" s="36"/>
      <c r="AT71" s="4"/>
      <c r="AV71" s="36">
        <f>SUM(AV58:AV68)</f>
        <v>238254</v>
      </c>
      <c r="AW71" s="36">
        <f>SUM(AW58:AW68)</f>
        <v>192521</v>
      </c>
      <c r="AX71" s="36">
        <f>SUM(AX58:AX68)</f>
        <v>192521</v>
      </c>
      <c r="AY71" s="36">
        <f>SUM(AY58:AY68)</f>
        <v>41000</v>
      </c>
      <c r="AZ71" s="37">
        <f>SUM(AZ58:AZ69)</f>
        <v>238254</v>
      </c>
      <c r="BA71" s="35">
        <f>SUM(BA58:BA68)</f>
        <v>169283</v>
      </c>
      <c r="BB71" s="36">
        <f>SUM(BB58:BB68)</f>
        <v>110262</v>
      </c>
      <c r="BC71" s="29">
        <f>SUM(BC58:BC69)</f>
        <v>-16654</v>
      </c>
      <c r="BD71" s="37">
        <f>SUM(BD58:BD68)</f>
        <v>252270</v>
      </c>
      <c r="BE71" s="35">
        <f>SUM(BE58:BE68)</f>
        <v>201500</v>
      </c>
      <c r="BF71" s="37">
        <f>SUM(BF58:BF68)</f>
        <v>174397.8</v>
      </c>
      <c r="BG71" s="35">
        <f>SUM(BG58:BG68)</f>
        <v>198720</v>
      </c>
      <c r="BH71" s="35"/>
      <c r="BI71" s="25"/>
      <c r="BN71" s="36">
        <f>SUM(BN58:BN69)</f>
        <v>0</v>
      </c>
    </row>
    <row r="72" spans="1:66" ht="11.25" x14ac:dyDescent="0.15">
      <c r="B72" s="5"/>
      <c r="C72" s="5"/>
      <c r="D72" s="3"/>
      <c r="E72" s="3"/>
      <c r="F72" s="3"/>
      <c r="G72" s="3"/>
      <c r="H72" s="3"/>
      <c r="I72" s="3"/>
      <c r="J72" s="3"/>
      <c r="K72" s="3"/>
      <c r="L72" s="25"/>
      <c r="M72" s="3"/>
      <c r="N72" s="35"/>
      <c r="O72" s="35"/>
      <c r="P72" s="3"/>
      <c r="Q72" s="35"/>
      <c r="R72" s="35"/>
      <c r="S72" s="36"/>
      <c r="T72" s="36"/>
      <c r="U72" s="36"/>
      <c r="V72" s="36"/>
      <c r="W72" s="36"/>
      <c r="X72" s="4"/>
      <c r="Y72" s="29"/>
      <c r="Z72" s="4"/>
      <c r="AA72" s="28"/>
      <c r="AB72" s="36"/>
      <c r="AC72" s="36"/>
      <c r="AD72" s="36"/>
      <c r="AE72" s="36"/>
      <c r="AF72" s="36"/>
      <c r="AG72" s="36"/>
      <c r="AH72" s="35"/>
      <c r="AI72" s="35"/>
      <c r="AJ72" s="35"/>
      <c r="AK72" s="35"/>
      <c r="AL72" s="25">
        <f t="shared" si="13"/>
        <v>0</v>
      </c>
      <c r="AM72" s="25">
        <f t="shared" si="18"/>
        <v>0</v>
      </c>
      <c r="AN72" s="4"/>
      <c r="AO72" s="36"/>
      <c r="AP72" s="4"/>
      <c r="AQ72" s="36"/>
      <c r="AR72" s="36"/>
      <c r="AS72" s="36"/>
      <c r="AT72" s="4"/>
      <c r="AV72" s="36"/>
      <c r="AW72" s="36"/>
      <c r="AX72" s="36"/>
      <c r="AY72" s="36"/>
      <c r="AZ72" s="27"/>
      <c r="BA72" s="35"/>
      <c r="BB72" s="36"/>
      <c r="BC72" s="29"/>
      <c r="BD72" s="37"/>
      <c r="BE72" s="35"/>
      <c r="BF72" s="37"/>
      <c r="BG72" s="35"/>
      <c r="BH72" s="35"/>
      <c r="BN72" s="36"/>
    </row>
    <row r="73" spans="1:66" ht="11.25" x14ac:dyDescent="0.15">
      <c r="B73" s="5" t="s">
        <v>77</v>
      </c>
      <c r="C73" s="5"/>
      <c r="D73" s="3"/>
      <c r="E73" s="3"/>
      <c r="F73" s="3"/>
      <c r="G73" s="3"/>
      <c r="H73" s="3"/>
      <c r="I73" s="3"/>
      <c r="J73" s="3"/>
      <c r="K73" s="3"/>
      <c r="L73" s="25"/>
      <c r="M73" s="3"/>
      <c r="P73" s="3"/>
      <c r="S73" s="32"/>
      <c r="T73" s="32"/>
      <c r="U73" s="32"/>
      <c r="V73" s="32"/>
      <c r="W73" s="32"/>
      <c r="X73" s="4"/>
      <c r="Y73" s="29"/>
      <c r="Z73" s="4"/>
      <c r="AA73" s="28"/>
      <c r="AB73" s="32"/>
      <c r="AC73" s="32"/>
      <c r="AD73" s="32"/>
      <c r="AE73" s="32"/>
      <c r="AF73" s="32"/>
      <c r="AG73" s="32"/>
      <c r="AL73" s="25">
        <f t="shared" si="13"/>
        <v>0</v>
      </c>
      <c r="AM73" s="25">
        <f t="shared" si="18"/>
        <v>0</v>
      </c>
      <c r="AN73" s="4"/>
      <c r="AO73" s="32"/>
      <c r="AP73" s="4"/>
      <c r="AQ73" s="32"/>
      <c r="AR73" s="32"/>
      <c r="AS73" s="32"/>
      <c r="AT73" s="4"/>
      <c r="AV73" s="32"/>
      <c r="AW73" s="32"/>
      <c r="AX73" s="32"/>
      <c r="AY73" s="32"/>
      <c r="AZ73" s="27"/>
      <c r="BB73" s="32"/>
      <c r="BC73" s="29"/>
      <c r="BD73" s="27"/>
      <c r="BF73" s="27"/>
      <c r="BN73" s="32"/>
    </row>
    <row r="74" spans="1:66" ht="11.25" x14ac:dyDescent="0.15">
      <c r="A74" s="4">
        <v>2410</v>
      </c>
      <c r="B74" s="4" t="s">
        <v>78</v>
      </c>
      <c r="D74" s="3">
        <v>15000</v>
      </c>
      <c r="E74" s="3">
        <v>15000</v>
      </c>
      <c r="F74" s="3">
        <v>15000</v>
      </c>
      <c r="G74" s="3">
        <v>15000</v>
      </c>
      <c r="H74" s="3">
        <v>15000</v>
      </c>
      <c r="I74" s="3">
        <v>15000</v>
      </c>
      <c r="J74" s="3">
        <v>15000</v>
      </c>
      <c r="K74" s="3">
        <v>15000</v>
      </c>
      <c r="L74" s="25">
        <f t="shared" ref="L74:L116" si="29">K74-M74</f>
        <v>0</v>
      </c>
      <c r="M74" s="3">
        <v>15000</v>
      </c>
      <c r="N74" s="25"/>
      <c r="O74" s="25"/>
      <c r="P74" s="3">
        <v>15000</v>
      </c>
      <c r="Q74" s="25"/>
      <c r="R74" s="25"/>
      <c r="S74" s="29"/>
      <c r="T74" s="29"/>
      <c r="U74" s="29"/>
      <c r="V74" s="29"/>
      <c r="W74" s="29"/>
      <c r="X74" s="4"/>
      <c r="Y74" s="29"/>
      <c r="Z74" s="4"/>
      <c r="AA74" s="28"/>
      <c r="AB74" s="29"/>
      <c r="AC74" s="29"/>
      <c r="AD74" s="29"/>
      <c r="AE74" s="29"/>
      <c r="AF74" s="29"/>
      <c r="AG74" s="29"/>
      <c r="AH74" s="35"/>
      <c r="AI74" s="25">
        <v>15000</v>
      </c>
      <c r="AJ74" s="25">
        <v>15000</v>
      </c>
      <c r="AK74" s="25"/>
      <c r="AL74" s="25">
        <f t="shared" si="13"/>
        <v>0</v>
      </c>
      <c r="AM74" s="25">
        <f t="shared" si="18"/>
        <v>0</v>
      </c>
      <c r="AN74" s="4"/>
      <c r="AO74" s="29"/>
      <c r="AP74" s="4"/>
      <c r="AQ74" s="29"/>
      <c r="AR74" s="29">
        <f>AF74-AI74</f>
        <v>-15000</v>
      </c>
      <c r="AS74" s="29"/>
      <c r="AT74" s="4"/>
      <c r="AV74" s="29">
        <v>15000</v>
      </c>
      <c r="AW74" s="29">
        <v>15000</v>
      </c>
      <c r="AX74" s="29">
        <v>15000</v>
      </c>
      <c r="AY74" s="29"/>
      <c r="AZ74" s="27">
        <f>AW74+AY74</f>
        <v>15000</v>
      </c>
      <c r="BA74" s="25">
        <v>7500</v>
      </c>
      <c r="BB74" s="29">
        <v>7500</v>
      </c>
      <c r="BC74" s="29">
        <f>AI74-AZ74</f>
        <v>0</v>
      </c>
      <c r="BD74" s="27">
        <v>15000</v>
      </c>
      <c r="BE74" s="25">
        <v>15000</v>
      </c>
      <c r="BF74" s="27">
        <v>15000</v>
      </c>
      <c r="BG74" s="25">
        <v>15000</v>
      </c>
      <c r="BH74" s="25"/>
      <c r="BN74" s="29">
        <f t="shared" ref="BN74:BN95" si="30">BL74+BM74</f>
        <v>0</v>
      </c>
    </row>
    <row r="75" spans="1:66" ht="11.25" x14ac:dyDescent="0.15">
      <c r="A75" s="4">
        <v>2411</v>
      </c>
      <c r="B75" s="4" t="s">
        <v>79</v>
      </c>
      <c r="D75" s="3">
        <v>3000</v>
      </c>
      <c r="E75" s="3">
        <v>3000</v>
      </c>
      <c r="F75" s="3">
        <v>3000</v>
      </c>
      <c r="G75" s="3">
        <v>3000</v>
      </c>
      <c r="H75" s="3">
        <v>3000</v>
      </c>
      <c r="I75" s="3">
        <v>3000</v>
      </c>
      <c r="J75" s="3">
        <v>3000</v>
      </c>
      <c r="K75" s="3" t="s">
        <v>141</v>
      </c>
      <c r="L75" s="25" t="e">
        <f t="shared" si="29"/>
        <v>#VALUE!</v>
      </c>
      <c r="M75" s="3">
        <v>0</v>
      </c>
      <c r="N75" s="25"/>
      <c r="O75" s="25"/>
      <c r="P75" s="3" t="s">
        <v>141</v>
      </c>
      <c r="Q75" s="25"/>
      <c r="R75" s="25"/>
      <c r="S75" s="29"/>
      <c r="T75" s="29"/>
      <c r="U75" s="29"/>
      <c r="V75" s="29"/>
      <c r="W75" s="29"/>
      <c r="X75" s="4"/>
      <c r="Y75" s="29"/>
      <c r="Z75" s="4"/>
      <c r="AA75" s="28"/>
      <c r="AB75" s="29"/>
      <c r="AC75" s="29"/>
      <c r="AD75" s="29"/>
      <c r="AE75" s="29"/>
      <c r="AF75" s="29"/>
      <c r="AG75" s="29"/>
      <c r="AH75" s="25"/>
      <c r="AI75" s="25"/>
      <c r="AJ75" s="25">
        <v>4000</v>
      </c>
      <c r="AK75" s="25"/>
      <c r="AL75" s="25">
        <f t="shared" si="13"/>
        <v>0</v>
      </c>
      <c r="AM75" s="25">
        <f t="shared" si="18"/>
        <v>0</v>
      </c>
      <c r="AN75" s="4"/>
      <c r="AO75" s="29"/>
      <c r="AP75" s="4"/>
      <c r="AQ75" s="29"/>
      <c r="AR75" s="29"/>
      <c r="AS75" s="29"/>
      <c r="AT75" s="4"/>
      <c r="AV75" s="29"/>
      <c r="AW75" s="29"/>
      <c r="AX75" s="29"/>
      <c r="AY75" s="29"/>
      <c r="AZ75" s="27"/>
      <c r="BA75" s="25"/>
      <c r="BB75" s="29"/>
      <c r="BC75" s="29"/>
      <c r="BD75" s="27"/>
      <c r="BE75" s="25"/>
      <c r="BF75" s="27"/>
      <c r="BG75" s="25"/>
      <c r="BH75" s="25"/>
      <c r="BN75" s="29"/>
    </row>
    <row r="76" spans="1:66" ht="11.25" x14ac:dyDescent="0.15">
      <c r="A76" s="4">
        <v>2412</v>
      </c>
      <c r="B76" s="4" t="s">
        <v>80</v>
      </c>
      <c r="D76" s="3">
        <v>2500</v>
      </c>
      <c r="E76" s="3">
        <v>2500</v>
      </c>
      <c r="F76" s="3">
        <v>2500</v>
      </c>
      <c r="G76" s="3">
        <v>2500</v>
      </c>
      <c r="H76" s="3">
        <v>2500</v>
      </c>
      <c r="I76" s="3">
        <v>2500</v>
      </c>
      <c r="J76" s="3">
        <v>2500</v>
      </c>
      <c r="K76" s="3">
        <v>1140</v>
      </c>
      <c r="L76" s="25">
        <f t="shared" si="29"/>
        <v>1140</v>
      </c>
      <c r="M76" s="3">
        <v>0</v>
      </c>
      <c r="N76" s="25"/>
      <c r="O76" s="25"/>
      <c r="P76" s="3">
        <v>1140</v>
      </c>
      <c r="Q76" s="25"/>
      <c r="R76" s="25"/>
      <c r="S76" s="29"/>
      <c r="T76" s="29"/>
      <c r="U76" s="29"/>
      <c r="V76" s="29"/>
      <c r="W76" s="29"/>
      <c r="X76" s="4"/>
      <c r="Y76" s="29"/>
      <c r="Z76" s="4"/>
      <c r="AA76" s="28"/>
      <c r="AB76" s="29"/>
      <c r="AC76" s="29"/>
      <c r="AD76" s="29"/>
      <c r="AE76" s="29"/>
      <c r="AF76" s="29"/>
      <c r="AG76" s="29"/>
      <c r="AH76" s="35"/>
      <c r="AI76" s="25">
        <v>2500</v>
      </c>
      <c r="AJ76" s="25">
        <v>2500</v>
      </c>
      <c r="AK76" s="25"/>
      <c r="AL76" s="25">
        <f t="shared" si="13"/>
        <v>0</v>
      </c>
      <c r="AM76" s="25">
        <f t="shared" si="18"/>
        <v>-870</v>
      </c>
      <c r="AN76" s="4"/>
      <c r="AO76" s="29">
        <v>870</v>
      </c>
      <c r="AP76" s="4"/>
      <c r="AQ76" s="29"/>
      <c r="AR76" s="29">
        <f>AF76-AI76</f>
        <v>-2500</v>
      </c>
      <c r="AS76" s="29"/>
      <c r="AT76" s="4"/>
      <c r="AV76" s="29">
        <v>3978</v>
      </c>
      <c r="AW76" s="29">
        <v>1500</v>
      </c>
      <c r="AX76" s="29">
        <v>1500</v>
      </c>
      <c r="AY76" s="29"/>
      <c r="AZ76" s="27">
        <v>3978</v>
      </c>
      <c r="BA76" s="25">
        <v>1500</v>
      </c>
      <c r="BB76" s="29">
        <v>1500</v>
      </c>
      <c r="BC76" s="29">
        <f>AI76-AZ76</f>
        <v>-1478</v>
      </c>
      <c r="BD76" s="27">
        <v>1615</v>
      </c>
      <c r="BE76" s="25">
        <v>2500</v>
      </c>
      <c r="BF76" s="27">
        <v>540</v>
      </c>
      <c r="BG76" s="25">
        <v>2500</v>
      </c>
      <c r="BH76" s="25"/>
      <c r="BN76" s="29">
        <f t="shared" si="30"/>
        <v>0</v>
      </c>
    </row>
    <row r="77" spans="1:66" ht="11.25" x14ac:dyDescent="0.15">
      <c r="A77" s="4">
        <v>2413</v>
      </c>
      <c r="B77" s="4" t="s">
        <v>81</v>
      </c>
      <c r="D77" s="3">
        <v>10000</v>
      </c>
      <c r="E77" s="3">
        <v>10000</v>
      </c>
      <c r="F77" s="3">
        <v>10000</v>
      </c>
      <c r="G77" s="3">
        <v>10000</v>
      </c>
      <c r="H77" s="3">
        <v>10000</v>
      </c>
      <c r="I77" s="3">
        <v>10000</v>
      </c>
      <c r="J77" s="3">
        <v>10000</v>
      </c>
      <c r="K77" s="3">
        <v>7421</v>
      </c>
      <c r="L77" s="25">
        <f t="shared" si="29"/>
        <v>6506</v>
      </c>
      <c r="M77" s="3">
        <v>915</v>
      </c>
      <c r="N77" s="25"/>
      <c r="O77" s="25"/>
      <c r="P77" s="3">
        <v>4127</v>
      </c>
      <c r="Q77" s="25"/>
      <c r="R77" s="25"/>
      <c r="S77" s="29"/>
      <c r="T77" s="29"/>
      <c r="U77" s="29"/>
      <c r="V77" s="29"/>
      <c r="W77" s="29"/>
      <c r="X77" s="4"/>
      <c r="Y77" s="29"/>
      <c r="Z77" s="4"/>
      <c r="AA77" s="28"/>
      <c r="AB77" s="29"/>
      <c r="AC77" s="29"/>
      <c r="AD77" s="29"/>
      <c r="AE77" s="29"/>
      <c r="AF77" s="29"/>
      <c r="AG77" s="29"/>
      <c r="AH77" s="35"/>
      <c r="AI77" s="25">
        <v>10000</v>
      </c>
      <c r="AJ77" s="25">
        <v>10000</v>
      </c>
      <c r="AK77" s="25"/>
      <c r="AL77" s="25">
        <f t="shared" si="13"/>
        <v>0</v>
      </c>
      <c r="AM77" s="25">
        <f t="shared" si="18"/>
        <v>0</v>
      </c>
      <c r="AN77" s="4"/>
      <c r="AO77" s="29"/>
      <c r="AP77" s="4"/>
      <c r="AQ77" s="29"/>
      <c r="AR77" s="29">
        <f>AF77-AI77</f>
        <v>-10000</v>
      </c>
      <c r="AS77" s="29"/>
      <c r="AT77" s="4"/>
      <c r="AV77" s="29">
        <v>5918</v>
      </c>
      <c r="AW77" s="29">
        <v>4640</v>
      </c>
      <c r="AX77" s="29">
        <v>4515</v>
      </c>
      <c r="AY77" s="29">
        <v>500</v>
      </c>
      <c r="AZ77" s="27">
        <v>5918</v>
      </c>
      <c r="BA77" s="25">
        <v>3495</v>
      </c>
      <c r="BB77" s="29">
        <v>3495</v>
      </c>
      <c r="BC77" s="29">
        <f>AI77-AZ77</f>
        <v>4082</v>
      </c>
      <c r="BD77" s="27">
        <v>1868</v>
      </c>
      <c r="BE77" s="25">
        <v>10000</v>
      </c>
      <c r="BF77" s="27">
        <f>6270</f>
        <v>6270</v>
      </c>
      <c r="BG77" s="25">
        <v>10000</v>
      </c>
      <c r="BH77" s="25"/>
      <c r="BI77" s="25"/>
      <c r="BN77" s="29">
        <f t="shared" si="30"/>
        <v>0</v>
      </c>
    </row>
    <row r="78" spans="1:66" ht="11.25" x14ac:dyDescent="0.15">
      <c r="A78" s="4">
        <v>2420</v>
      </c>
      <c r="B78" s="4" t="s">
        <v>82</v>
      </c>
      <c r="D78" s="3">
        <v>7500</v>
      </c>
      <c r="E78" s="3">
        <v>7500</v>
      </c>
      <c r="F78" s="3">
        <v>7500</v>
      </c>
      <c r="G78" s="3">
        <v>7500</v>
      </c>
      <c r="H78" s="3">
        <v>7500</v>
      </c>
      <c r="I78" s="3">
        <v>13500</v>
      </c>
      <c r="J78" s="3">
        <v>7500</v>
      </c>
      <c r="K78" s="3">
        <v>4836</v>
      </c>
      <c r="L78" s="25">
        <f t="shared" si="29"/>
        <v>-8589</v>
      </c>
      <c r="M78" s="3">
        <v>13425</v>
      </c>
      <c r="N78" s="25"/>
      <c r="O78" s="25"/>
      <c r="P78" s="3">
        <v>4600</v>
      </c>
      <c r="Q78" s="25"/>
      <c r="R78" s="25"/>
      <c r="S78" s="29"/>
      <c r="T78" s="29"/>
      <c r="U78" s="29"/>
      <c r="V78" s="29"/>
      <c r="W78" s="29"/>
      <c r="X78" s="4"/>
      <c r="Y78" s="29"/>
      <c r="Z78" s="4"/>
      <c r="AA78" s="28"/>
      <c r="AB78" s="29"/>
      <c r="AC78" s="29"/>
      <c r="AD78" s="29"/>
      <c r="AE78" s="29"/>
      <c r="AF78" s="29"/>
      <c r="AG78" s="29"/>
      <c r="AH78" s="35"/>
      <c r="AI78" s="25">
        <v>3000</v>
      </c>
      <c r="AJ78" s="25">
        <v>3000</v>
      </c>
      <c r="AK78" s="25"/>
      <c r="AL78" s="25">
        <f t="shared" si="13"/>
        <v>0</v>
      </c>
      <c r="AM78" s="25">
        <f t="shared" si="18"/>
        <v>0</v>
      </c>
      <c r="AN78" s="4"/>
      <c r="AO78" s="29"/>
      <c r="AP78" s="4"/>
      <c r="AQ78" s="29"/>
      <c r="AR78" s="29">
        <f>AF78-AI78</f>
        <v>-3000</v>
      </c>
      <c r="AS78" s="29"/>
      <c r="AT78" s="4"/>
      <c r="AV78" s="29">
        <v>1600</v>
      </c>
      <c r="AW78" s="29">
        <v>1600</v>
      </c>
      <c r="AX78" s="29">
        <v>1600</v>
      </c>
      <c r="AY78" s="29"/>
      <c r="AZ78" s="27">
        <f>AW78+AY78</f>
        <v>1600</v>
      </c>
      <c r="BA78" s="25">
        <v>1600</v>
      </c>
      <c r="BB78" s="29">
        <v>1600</v>
      </c>
      <c r="BC78" s="29">
        <f>AI78-AZ78</f>
        <v>1400</v>
      </c>
      <c r="BD78" s="27">
        <f>1472+709</f>
        <v>2181</v>
      </c>
      <c r="BE78" s="25">
        <v>3000</v>
      </c>
      <c r="BF78" s="27">
        <v>1942.5</v>
      </c>
      <c r="BG78" s="25">
        <v>3000</v>
      </c>
      <c r="BH78" s="25"/>
      <c r="BN78" s="29">
        <f t="shared" si="30"/>
        <v>0</v>
      </c>
    </row>
    <row r="79" spans="1:66" ht="11.25" x14ac:dyDescent="0.15">
      <c r="A79" s="4">
        <v>2425</v>
      </c>
      <c r="B79" s="4" t="s">
        <v>83</v>
      </c>
      <c r="D79" s="3">
        <v>74000</v>
      </c>
      <c r="E79" s="3">
        <v>74000</v>
      </c>
      <c r="F79" s="3">
        <v>74000</v>
      </c>
      <c r="G79" s="3">
        <v>74000</v>
      </c>
      <c r="H79" s="3">
        <v>74000</v>
      </c>
      <c r="I79" s="3">
        <v>74000</v>
      </c>
      <c r="J79" s="3">
        <v>74000</v>
      </c>
      <c r="K79" s="3">
        <v>74000</v>
      </c>
      <c r="L79" s="25">
        <f t="shared" si="29"/>
        <v>24000</v>
      </c>
      <c r="M79" s="3">
        <v>50000</v>
      </c>
      <c r="N79" s="25"/>
      <c r="O79" s="25"/>
      <c r="P79" s="3">
        <v>74000</v>
      </c>
      <c r="Q79" s="25"/>
      <c r="R79" s="25"/>
      <c r="S79" s="29"/>
      <c r="T79" s="29"/>
      <c r="U79" s="29"/>
      <c r="V79" s="29"/>
      <c r="W79" s="29"/>
      <c r="X79" s="4"/>
      <c r="Y79" s="29"/>
      <c r="Z79" s="4"/>
      <c r="AA79" s="28"/>
      <c r="AB79" s="29"/>
      <c r="AC79" s="29"/>
      <c r="AD79" s="29"/>
      <c r="AE79" s="29"/>
      <c r="AF79" s="29"/>
      <c r="AG79" s="29"/>
      <c r="AH79" s="35"/>
      <c r="AI79" s="25">
        <v>65000</v>
      </c>
      <c r="AJ79" s="25">
        <v>65000</v>
      </c>
      <c r="AK79" s="25"/>
      <c r="AL79" s="25">
        <f t="shared" si="13"/>
        <v>0</v>
      </c>
      <c r="AM79" s="25">
        <f t="shared" si="18"/>
        <v>-29000</v>
      </c>
      <c r="AN79" s="4"/>
      <c r="AO79" s="29">
        <v>29000</v>
      </c>
      <c r="AP79" s="4"/>
      <c r="AQ79" s="29"/>
      <c r="AR79" s="29">
        <f>AF79-AI79</f>
        <v>-65000</v>
      </c>
      <c r="AS79" s="29"/>
      <c r="AT79" s="4"/>
      <c r="AV79" s="29">
        <v>65100</v>
      </c>
      <c r="AW79" s="29">
        <v>60350</v>
      </c>
      <c r="AX79" s="29">
        <v>53350</v>
      </c>
      <c r="AY79" s="29">
        <v>4650</v>
      </c>
      <c r="AZ79" s="27">
        <v>65100</v>
      </c>
      <c r="BA79" s="25">
        <v>39100</v>
      </c>
      <c r="BB79" s="29">
        <v>33100</v>
      </c>
      <c r="BC79" s="29">
        <f>AI79-AZ79</f>
        <v>-100</v>
      </c>
      <c r="BD79" s="27">
        <v>65000</v>
      </c>
      <c r="BE79" s="25">
        <v>65000</v>
      </c>
      <c r="BF79" s="27">
        <v>64750</v>
      </c>
      <c r="BG79" s="25">
        <v>65000</v>
      </c>
      <c r="BH79" s="25"/>
      <c r="BN79" s="29">
        <f t="shared" si="30"/>
        <v>0</v>
      </c>
    </row>
    <row r="80" spans="1:66" ht="11.25" x14ac:dyDescent="0.15">
      <c r="A80" s="4">
        <v>2430</v>
      </c>
      <c r="B80" s="4" t="s">
        <v>84</v>
      </c>
      <c r="D80" s="3"/>
      <c r="E80" s="3"/>
      <c r="F80" s="3"/>
      <c r="G80" s="3"/>
      <c r="H80" s="3"/>
      <c r="I80" s="3"/>
      <c r="J80" s="3"/>
      <c r="K80" s="3">
        <v>1351</v>
      </c>
      <c r="L80" s="25">
        <f t="shared" si="29"/>
        <v>187</v>
      </c>
      <c r="M80" s="3">
        <v>1164</v>
      </c>
      <c r="N80" s="25"/>
      <c r="O80" s="25"/>
      <c r="P80" s="3">
        <v>1351</v>
      </c>
      <c r="Q80" s="25"/>
      <c r="R80" s="25"/>
      <c r="S80" s="29"/>
      <c r="T80" s="29"/>
      <c r="U80" s="29"/>
      <c r="V80" s="29"/>
      <c r="W80" s="29"/>
      <c r="X80" s="4"/>
      <c r="Y80" s="29"/>
      <c r="Z80" s="4"/>
      <c r="AA80" s="28"/>
      <c r="AB80" s="29"/>
      <c r="AC80" s="29"/>
      <c r="AD80" s="29"/>
      <c r="AE80" s="29"/>
      <c r="AF80" s="29"/>
      <c r="AG80" s="29"/>
      <c r="AH80" s="25"/>
      <c r="AI80" s="25"/>
      <c r="AJ80" s="25">
        <v>1000</v>
      </c>
      <c r="AK80" s="25"/>
      <c r="AL80" s="25">
        <f t="shared" si="13"/>
        <v>0</v>
      </c>
      <c r="AM80" s="25">
        <f t="shared" si="18"/>
        <v>0</v>
      </c>
      <c r="AN80" s="4"/>
      <c r="AO80" s="29"/>
      <c r="AP80" s="4"/>
      <c r="AQ80" s="29"/>
      <c r="AR80" s="29"/>
      <c r="AS80" s="29"/>
      <c r="AT80" s="4"/>
      <c r="AV80" s="29"/>
      <c r="AW80" s="29"/>
      <c r="AX80" s="29"/>
      <c r="AY80" s="29"/>
      <c r="AZ80" s="27"/>
      <c r="BA80" s="25"/>
      <c r="BB80" s="29"/>
      <c r="BC80" s="29"/>
      <c r="BD80" s="27"/>
      <c r="BE80" s="25"/>
      <c r="BF80" s="27"/>
      <c r="BG80" s="25"/>
      <c r="BH80" s="25"/>
      <c r="BN80" s="29"/>
    </row>
    <row r="81" spans="1:79" ht="11.25" x14ac:dyDescent="0.15">
      <c r="A81" s="4">
        <v>2435</v>
      </c>
      <c r="B81" s="4" t="s">
        <v>85</v>
      </c>
      <c r="D81" s="3">
        <v>10000</v>
      </c>
      <c r="E81" s="3">
        <v>10000</v>
      </c>
      <c r="F81" s="3">
        <v>10000</v>
      </c>
      <c r="G81" s="3">
        <v>10000</v>
      </c>
      <c r="H81" s="3">
        <v>10000</v>
      </c>
      <c r="I81" s="3">
        <v>10000</v>
      </c>
      <c r="J81" s="3">
        <v>10000</v>
      </c>
      <c r="K81" s="3">
        <v>10690</v>
      </c>
      <c r="L81" s="25">
        <f t="shared" si="29"/>
        <v>2003</v>
      </c>
      <c r="M81" s="3">
        <v>8687</v>
      </c>
      <c r="N81" s="25"/>
      <c r="O81" s="25"/>
      <c r="P81" s="3">
        <v>7225</v>
      </c>
      <c r="Q81" s="25"/>
      <c r="R81" s="25"/>
      <c r="S81" s="29"/>
      <c r="T81" s="29"/>
      <c r="U81" s="29"/>
      <c r="V81" s="29"/>
      <c r="W81" s="29"/>
      <c r="X81" s="4"/>
      <c r="Y81" s="29"/>
      <c r="Z81" s="4"/>
      <c r="AA81" s="28"/>
      <c r="AB81" s="29"/>
      <c r="AC81" s="29"/>
      <c r="AD81" s="29"/>
      <c r="AE81" s="29"/>
      <c r="AF81" s="29"/>
      <c r="AG81" s="29"/>
      <c r="AH81" s="35"/>
      <c r="AI81" s="25">
        <v>25000</v>
      </c>
      <c r="AJ81" s="25">
        <v>25000</v>
      </c>
      <c r="AK81" s="25"/>
      <c r="AL81" s="25">
        <f t="shared" si="13"/>
        <v>0</v>
      </c>
      <c r="AM81" s="25">
        <f t="shared" si="18"/>
        <v>-5546</v>
      </c>
      <c r="AN81" s="4"/>
      <c r="AO81" s="29">
        <v>5546</v>
      </c>
      <c r="AP81" s="4"/>
      <c r="AQ81" s="29"/>
      <c r="AR81" s="29">
        <f t="shared" ref="AR81:AR95" si="31">AF81-AI81</f>
        <v>-25000</v>
      </c>
      <c r="AS81" s="29"/>
      <c r="AT81" s="4"/>
      <c r="AV81" s="29">
        <v>4411</v>
      </c>
      <c r="AW81" s="29">
        <v>3793</v>
      </c>
      <c r="AX81" s="29">
        <v>3789</v>
      </c>
      <c r="AY81" s="29">
        <v>500</v>
      </c>
      <c r="AZ81" s="27">
        <v>4411</v>
      </c>
      <c r="BA81" s="25">
        <v>3138</v>
      </c>
      <c r="BB81" s="29">
        <v>3138</v>
      </c>
      <c r="BC81" s="29">
        <f t="shared" ref="BC81:BC95" si="32">AI81-AZ81</f>
        <v>20589</v>
      </c>
      <c r="BD81" s="27">
        <v>11811</v>
      </c>
      <c r="BE81" s="25">
        <v>25000</v>
      </c>
      <c r="BF81" s="27">
        <v>19532</v>
      </c>
      <c r="BG81" s="25">
        <v>25000</v>
      </c>
      <c r="BH81" s="25"/>
      <c r="BN81" s="29">
        <f t="shared" si="30"/>
        <v>0</v>
      </c>
    </row>
    <row r="82" spans="1:79" ht="11.25" x14ac:dyDescent="0.15">
      <c r="A82" s="4">
        <v>2436</v>
      </c>
      <c r="B82" s="4" t="s">
        <v>86</v>
      </c>
      <c r="D82" s="3">
        <v>10000</v>
      </c>
      <c r="E82" s="3">
        <v>10000</v>
      </c>
      <c r="F82" s="3">
        <v>10000</v>
      </c>
      <c r="G82" s="3">
        <v>10000</v>
      </c>
      <c r="H82" s="3">
        <v>10000</v>
      </c>
      <c r="I82" s="3">
        <v>10000</v>
      </c>
      <c r="J82" s="3">
        <v>10000</v>
      </c>
      <c r="K82" s="3">
        <v>24070</v>
      </c>
      <c r="L82" s="25">
        <f t="shared" si="29"/>
        <v>22385</v>
      </c>
      <c r="M82" s="3">
        <v>1685</v>
      </c>
      <c r="N82" s="25"/>
      <c r="O82" s="25"/>
      <c r="P82" s="3">
        <v>23271</v>
      </c>
      <c r="Q82" s="25"/>
      <c r="R82" s="25"/>
      <c r="S82" s="29"/>
      <c r="T82" s="29"/>
      <c r="U82" s="29"/>
      <c r="V82" s="29"/>
      <c r="W82" s="29"/>
      <c r="X82" s="4"/>
      <c r="Y82" s="29"/>
      <c r="Z82" s="4"/>
      <c r="AA82" s="28"/>
      <c r="AB82" s="29"/>
      <c r="AC82" s="29"/>
      <c r="AD82" s="29"/>
      <c r="AE82" s="29"/>
      <c r="AF82" s="29"/>
      <c r="AG82" s="29"/>
      <c r="AH82" s="35"/>
      <c r="AI82" s="25">
        <v>6000</v>
      </c>
      <c r="AJ82" s="25">
        <v>26000</v>
      </c>
      <c r="AK82" s="25"/>
      <c r="AL82" s="25">
        <f t="shared" si="13"/>
        <v>0</v>
      </c>
      <c r="AM82" s="25">
        <f t="shared" si="18"/>
        <v>-1238</v>
      </c>
      <c r="AN82" s="4"/>
      <c r="AO82" s="29">
        <v>1238</v>
      </c>
      <c r="AP82" s="4"/>
      <c r="AQ82" s="29"/>
      <c r="AR82" s="29">
        <f t="shared" si="31"/>
        <v>-6000</v>
      </c>
      <c r="AS82" s="29"/>
      <c r="AT82" s="4"/>
      <c r="AV82" s="29">
        <v>4850</v>
      </c>
      <c r="AW82" s="29">
        <v>4377</v>
      </c>
      <c r="AX82" s="29">
        <v>2352</v>
      </c>
      <c r="AY82" s="29">
        <v>2000</v>
      </c>
      <c r="AZ82" s="27">
        <v>4850</v>
      </c>
      <c r="BA82" s="25">
        <v>2352</v>
      </c>
      <c r="BB82" s="29">
        <v>2352</v>
      </c>
      <c r="BC82" s="29">
        <f t="shared" si="32"/>
        <v>1150</v>
      </c>
      <c r="BD82" s="27">
        <v>21769</v>
      </c>
      <c r="BE82" s="25">
        <v>4000</v>
      </c>
      <c r="BF82" s="27">
        <v>5307</v>
      </c>
      <c r="BG82" s="25">
        <v>4000</v>
      </c>
      <c r="BH82" s="25"/>
      <c r="BN82" s="29">
        <f t="shared" si="30"/>
        <v>0</v>
      </c>
    </row>
    <row r="83" spans="1:79" ht="11.25" x14ac:dyDescent="0.15">
      <c r="A83" s="4">
        <v>2437</v>
      </c>
      <c r="B83" s="4" t="s">
        <v>87</v>
      </c>
      <c r="D83" s="3">
        <v>50000</v>
      </c>
      <c r="E83" s="3">
        <v>50000</v>
      </c>
      <c r="F83" s="3">
        <v>50000</v>
      </c>
      <c r="G83" s="3">
        <v>50000</v>
      </c>
      <c r="H83" s="3">
        <v>50000</v>
      </c>
      <c r="I83" s="3">
        <v>50000</v>
      </c>
      <c r="J83" s="3">
        <v>50000</v>
      </c>
      <c r="K83" s="3">
        <v>41604</v>
      </c>
      <c r="L83" s="25">
        <f t="shared" si="29"/>
        <v>-6892</v>
      </c>
      <c r="M83" s="3">
        <v>48496</v>
      </c>
      <c r="N83" s="25"/>
      <c r="O83" s="25"/>
      <c r="P83" s="3">
        <v>41604</v>
      </c>
      <c r="Q83" s="25"/>
      <c r="R83" s="25"/>
      <c r="S83" s="29"/>
      <c r="T83" s="29"/>
      <c r="U83" s="29"/>
      <c r="V83" s="29"/>
      <c r="W83" s="29"/>
      <c r="X83" s="4"/>
      <c r="Y83" s="29"/>
      <c r="Z83" s="4"/>
      <c r="AA83" s="28"/>
      <c r="AB83" s="29"/>
      <c r="AC83" s="29"/>
      <c r="AD83" s="29"/>
      <c r="AE83" s="29"/>
      <c r="AF83" s="29"/>
      <c r="AG83" s="29"/>
      <c r="AH83" s="35"/>
      <c r="AI83" s="25">
        <v>40000</v>
      </c>
      <c r="AJ83" s="25">
        <v>40000</v>
      </c>
      <c r="AK83" s="25"/>
      <c r="AL83" s="25">
        <f t="shared" si="13"/>
        <v>0</v>
      </c>
      <c r="AM83" s="25">
        <f t="shared" si="18"/>
        <v>-34083</v>
      </c>
      <c r="AN83" s="4"/>
      <c r="AO83" s="29">
        <v>34083</v>
      </c>
      <c r="AP83" s="4"/>
      <c r="AQ83" s="29"/>
      <c r="AR83" s="29">
        <f t="shared" si="31"/>
        <v>-40000</v>
      </c>
      <c r="AS83" s="29"/>
      <c r="AT83" s="4"/>
      <c r="AV83" s="29">
        <v>54647</v>
      </c>
      <c r="AW83" s="29">
        <v>54647</v>
      </c>
      <c r="AX83" s="29">
        <v>54647</v>
      </c>
      <c r="AY83" s="29"/>
      <c r="AZ83" s="27">
        <f>AW83+AY83</f>
        <v>54647</v>
      </c>
      <c r="BA83" s="25">
        <v>54647</v>
      </c>
      <c r="BB83" s="29">
        <v>54647</v>
      </c>
      <c r="BC83" s="29">
        <f t="shared" si="32"/>
        <v>-14647</v>
      </c>
      <c r="BD83" s="27">
        <v>37279</v>
      </c>
      <c r="BE83" s="25">
        <v>31000</v>
      </c>
      <c r="BF83" s="27">
        <v>41936</v>
      </c>
      <c r="BG83" s="25">
        <v>31000</v>
      </c>
      <c r="BH83" s="25"/>
      <c r="BN83" s="29">
        <f t="shared" si="30"/>
        <v>0</v>
      </c>
    </row>
    <row r="84" spans="1:79" ht="11.25" x14ac:dyDescent="0.15">
      <c r="A84" s="4">
        <v>2438</v>
      </c>
      <c r="B84" s="4" t="s">
        <v>88</v>
      </c>
      <c r="D84" s="3">
        <v>6000</v>
      </c>
      <c r="E84" s="3">
        <v>6000</v>
      </c>
      <c r="F84" s="3">
        <v>6000</v>
      </c>
      <c r="G84" s="3">
        <v>6000</v>
      </c>
      <c r="H84" s="3">
        <v>6000</v>
      </c>
      <c r="I84" s="3">
        <v>6000</v>
      </c>
      <c r="J84" s="3">
        <v>6000</v>
      </c>
      <c r="K84" s="3" t="s">
        <v>141</v>
      </c>
      <c r="L84" s="25" t="e">
        <f t="shared" si="29"/>
        <v>#VALUE!</v>
      </c>
      <c r="M84" s="3">
        <v>6152</v>
      </c>
      <c r="N84" s="25"/>
      <c r="O84" s="25"/>
      <c r="P84" s="3" t="s">
        <v>141</v>
      </c>
      <c r="Q84" s="25"/>
      <c r="R84" s="25"/>
      <c r="S84" s="29"/>
      <c r="T84" s="29"/>
      <c r="U84" s="29"/>
      <c r="V84" s="29"/>
      <c r="W84" s="29"/>
      <c r="X84" s="4"/>
      <c r="Y84" s="29"/>
      <c r="Z84" s="4"/>
      <c r="AA84" s="28"/>
      <c r="AB84" s="29"/>
      <c r="AC84" s="29"/>
      <c r="AD84" s="29"/>
      <c r="AE84" s="29"/>
      <c r="AF84" s="29"/>
      <c r="AG84" s="29"/>
      <c r="AH84" s="25"/>
      <c r="AI84" s="25"/>
      <c r="AJ84" s="25">
        <v>10000</v>
      </c>
      <c r="AK84" s="25"/>
      <c r="AL84" s="25">
        <f t="shared" si="13"/>
        <v>0</v>
      </c>
      <c r="AM84" s="25">
        <f t="shared" si="18"/>
        <v>0</v>
      </c>
      <c r="AN84" s="4"/>
      <c r="AO84" s="29"/>
      <c r="AP84" s="4"/>
      <c r="AQ84" s="29"/>
      <c r="AR84" s="29">
        <f t="shared" si="31"/>
        <v>0</v>
      </c>
      <c r="AS84" s="29"/>
      <c r="AT84" s="4"/>
      <c r="AV84" s="29">
        <v>3800</v>
      </c>
      <c r="AW84" s="29">
        <v>3800</v>
      </c>
      <c r="AX84" s="29">
        <v>3800</v>
      </c>
      <c r="AY84" s="29"/>
      <c r="AZ84" s="27">
        <f>AW84+AY84</f>
        <v>3800</v>
      </c>
      <c r="BA84" s="25">
        <v>3800</v>
      </c>
      <c r="BB84" s="29">
        <v>3800</v>
      </c>
      <c r="BC84" s="29">
        <f t="shared" si="32"/>
        <v>-3800</v>
      </c>
      <c r="BD84" s="27">
        <v>5330</v>
      </c>
      <c r="BE84" s="25"/>
      <c r="BF84" s="27"/>
      <c r="BG84" s="25"/>
      <c r="BH84" s="25"/>
      <c r="BN84" s="29">
        <f t="shared" si="30"/>
        <v>0</v>
      </c>
    </row>
    <row r="85" spans="1:79" ht="11.25" x14ac:dyDescent="0.15">
      <c r="A85" s="4">
        <v>2439</v>
      </c>
      <c r="B85" s="4" t="s">
        <v>89</v>
      </c>
      <c r="D85" s="3">
        <v>12000</v>
      </c>
      <c r="E85" s="3">
        <v>12000</v>
      </c>
      <c r="F85" s="3">
        <v>12000</v>
      </c>
      <c r="G85" s="3">
        <v>12000</v>
      </c>
      <c r="H85" s="3">
        <v>12000</v>
      </c>
      <c r="I85" s="3">
        <v>12000</v>
      </c>
      <c r="J85" s="3">
        <v>12000</v>
      </c>
      <c r="K85" s="3">
        <v>12142</v>
      </c>
      <c r="L85" s="25">
        <f t="shared" si="29"/>
        <v>526</v>
      </c>
      <c r="M85" s="3">
        <v>11616</v>
      </c>
      <c r="N85" s="25"/>
      <c r="O85" s="25"/>
      <c r="P85" s="3">
        <v>12142</v>
      </c>
      <c r="Q85" s="25"/>
      <c r="R85" s="25"/>
      <c r="S85" s="29"/>
      <c r="T85" s="29"/>
      <c r="U85" s="29"/>
      <c r="V85" s="29"/>
      <c r="W85" s="29"/>
      <c r="X85" s="4"/>
      <c r="Y85" s="29"/>
      <c r="Z85" s="4"/>
      <c r="AA85" s="28"/>
      <c r="AB85" s="29"/>
      <c r="AC85" s="29"/>
      <c r="AD85" s="29"/>
      <c r="AE85" s="29"/>
      <c r="AF85" s="29"/>
      <c r="AG85" s="29"/>
      <c r="AH85" s="35"/>
      <c r="AI85" s="25">
        <v>12000</v>
      </c>
      <c r="AJ85" s="25">
        <v>12000</v>
      </c>
      <c r="AK85" s="25"/>
      <c r="AL85" s="25">
        <f t="shared" si="13"/>
        <v>0</v>
      </c>
      <c r="AM85" s="25">
        <f t="shared" si="18"/>
        <v>-10622</v>
      </c>
      <c r="AN85" s="4"/>
      <c r="AO85" s="29">
        <v>10622</v>
      </c>
      <c r="AP85" s="4"/>
      <c r="AQ85" s="29"/>
      <c r="AR85" s="29">
        <f t="shared" si="31"/>
        <v>-12000</v>
      </c>
      <c r="AS85" s="29"/>
      <c r="AT85" s="4"/>
      <c r="AV85" s="29">
        <v>7898</v>
      </c>
      <c r="AW85" s="29">
        <v>5951</v>
      </c>
      <c r="AX85" s="29">
        <v>5951</v>
      </c>
      <c r="AY85" s="29"/>
      <c r="AZ85" s="27">
        <v>7898</v>
      </c>
      <c r="BA85" s="25">
        <v>5951</v>
      </c>
      <c r="BB85" s="29">
        <v>5951</v>
      </c>
      <c r="BC85" s="29">
        <f t="shared" si="32"/>
        <v>4102</v>
      </c>
      <c r="BD85" s="27">
        <v>11334</v>
      </c>
      <c r="BE85" s="25">
        <v>11000</v>
      </c>
      <c r="BF85" s="27">
        <v>11343</v>
      </c>
      <c r="BG85" s="25">
        <v>11000</v>
      </c>
      <c r="BH85" s="25"/>
      <c r="BN85" s="29">
        <f t="shared" si="30"/>
        <v>0</v>
      </c>
    </row>
    <row r="86" spans="1:79" ht="11.25" x14ac:dyDescent="0.15">
      <c r="A86" s="4">
        <v>2450</v>
      </c>
      <c r="B86" s="4" t="s">
        <v>90</v>
      </c>
      <c r="D86" s="3">
        <v>26000</v>
      </c>
      <c r="E86" s="3">
        <v>26000</v>
      </c>
      <c r="F86" s="3">
        <v>26000</v>
      </c>
      <c r="G86" s="3">
        <v>26000</v>
      </c>
      <c r="H86" s="3">
        <v>26000</v>
      </c>
      <c r="I86" s="3">
        <v>20000</v>
      </c>
      <c r="J86" s="3">
        <v>20000</v>
      </c>
      <c r="K86" s="3">
        <v>20000</v>
      </c>
      <c r="L86" s="25">
        <f t="shared" si="29"/>
        <v>20000</v>
      </c>
      <c r="M86" s="3">
        <v>0</v>
      </c>
      <c r="N86" s="25"/>
      <c r="O86" s="25"/>
      <c r="P86" s="3">
        <v>0</v>
      </c>
      <c r="Q86" s="25"/>
      <c r="R86" s="25"/>
      <c r="S86" s="29"/>
      <c r="T86" s="29"/>
      <c r="U86" s="29"/>
      <c r="V86" s="29"/>
      <c r="W86" s="29"/>
      <c r="X86" s="4"/>
      <c r="Y86" s="29"/>
      <c r="Z86" s="4"/>
      <c r="AA86" s="28"/>
      <c r="AB86" s="29"/>
      <c r="AC86" s="29"/>
      <c r="AD86" s="29"/>
      <c r="AE86" s="29"/>
      <c r="AF86" s="29"/>
      <c r="AG86" s="29"/>
      <c r="AH86" s="35"/>
      <c r="AI86" s="25">
        <v>20000</v>
      </c>
      <c r="AJ86" s="25">
        <v>20000</v>
      </c>
      <c r="AK86" s="25"/>
      <c r="AL86" s="25">
        <f t="shared" si="13"/>
        <v>0</v>
      </c>
      <c r="AM86" s="25">
        <f t="shared" si="18"/>
        <v>0</v>
      </c>
      <c r="AN86" s="4"/>
      <c r="AO86" s="29"/>
      <c r="AP86" s="4"/>
      <c r="AQ86" s="29"/>
      <c r="AR86" s="29">
        <f t="shared" si="31"/>
        <v>-20000</v>
      </c>
      <c r="AS86" s="29"/>
      <c r="AT86" s="4"/>
      <c r="AV86" s="29">
        <f>24023+400</f>
        <v>24423</v>
      </c>
      <c r="AW86" s="29">
        <f>24023+400</f>
        <v>24423</v>
      </c>
      <c r="AX86" s="29">
        <f>2423+400</f>
        <v>2823</v>
      </c>
      <c r="AY86" s="29">
        <v>0</v>
      </c>
      <c r="AZ86" s="27">
        <f>AW86+AY86</f>
        <v>24423</v>
      </c>
      <c r="BA86" s="25">
        <v>0</v>
      </c>
      <c r="BB86" s="29">
        <v>0</v>
      </c>
      <c r="BC86" s="29">
        <f t="shared" si="32"/>
        <v>-4423</v>
      </c>
      <c r="BD86" s="27">
        <f>29864+1400</f>
        <v>31264</v>
      </c>
      <c r="BE86" s="25">
        <v>20000</v>
      </c>
      <c r="BF86" s="27">
        <f>16000-4000</f>
        <v>12000</v>
      </c>
      <c r="BG86" s="25">
        <v>20000</v>
      </c>
      <c r="BH86" s="25"/>
      <c r="BN86" s="29">
        <f t="shared" si="30"/>
        <v>0</v>
      </c>
    </row>
    <row r="87" spans="1:79" ht="11.25" x14ac:dyDescent="0.15">
      <c r="A87" s="4">
        <v>2451</v>
      </c>
      <c r="B87" s="4" t="s">
        <v>91</v>
      </c>
      <c r="D87" s="3"/>
      <c r="E87" s="3"/>
      <c r="F87" s="3"/>
      <c r="G87" s="3"/>
      <c r="H87" s="3"/>
      <c r="I87" s="3"/>
      <c r="J87" s="3"/>
      <c r="K87" s="3">
        <v>200</v>
      </c>
      <c r="L87" s="25">
        <f t="shared" si="29"/>
        <v>200</v>
      </c>
      <c r="M87" s="3"/>
      <c r="N87" s="25"/>
      <c r="O87" s="25"/>
      <c r="P87" s="3">
        <v>200</v>
      </c>
      <c r="Q87" s="25"/>
      <c r="R87" s="25"/>
      <c r="S87" s="29"/>
      <c r="T87" s="29"/>
      <c r="U87" s="29"/>
      <c r="V87" s="29"/>
      <c r="W87" s="29"/>
      <c r="X87" s="4"/>
      <c r="Y87" s="29"/>
      <c r="Z87" s="4"/>
      <c r="AA87" s="28"/>
      <c r="AB87" s="29"/>
      <c r="AC87" s="29"/>
      <c r="AD87" s="29"/>
      <c r="AE87" s="29"/>
      <c r="AF87" s="29"/>
      <c r="AG87" s="29"/>
      <c r="AH87" s="35"/>
      <c r="AI87" s="25"/>
      <c r="AJ87" s="25"/>
      <c r="AK87" s="25"/>
      <c r="AL87" s="25"/>
      <c r="AM87" s="25"/>
      <c r="AN87" s="4"/>
      <c r="AO87" s="29"/>
      <c r="AP87" s="4"/>
      <c r="AQ87" s="29"/>
      <c r="AR87" s="29"/>
      <c r="AS87" s="29"/>
      <c r="AT87" s="4"/>
      <c r="AV87" s="29"/>
      <c r="AW87" s="29"/>
      <c r="AX87" s="29"/>
      <c r="AY87" s="29"/>
      <c r="AZ87" s="27"/>
      <c r="BA87" s="25"/>
      <c r="BB87" s="29"/>
      <c r="BC87" s="29"/>
      <c r="BD87" s="27"/>
      <c r="BE87" s="25"/>
      <c r="BF87" s="27"/>
      <c r="BG87" s="25"/>
      <c r="BH87" s="25"/>
      <c r="BN87" s="29"/>
    </row>
    <row r="88" spans="1:79" ht="11.25" x14ac:dyDescent="0.15">
      <c r="A88" s="4">
        <v>2452</v>
      </c>
      <c r="B88" s="4" t="s">
        <v>92</v>
      </c>
      <c r="D88" s="3">
        <v>4000</v>
      </c>
      <c r="E88" s="3">
        <v>4000</v>
      </c>
      <c r="F88" s="3">
        <v>4000</v>
      </c>
      <c r="G88" s="3">
        <v>4000</v>
      </c>
      <c r="H88" s="3">
        <v>4000</v>
      </c>
      <c r="I88" s="3">
        <v>4000</v>
      </c>
      <c r="J88" s="3">
        <v>4000</v>
      </c>
      <c r="K88" s="3">
        <v>0</v>
      </c>
      <c r="L88" s="25">
        <f t="shared" si="29"/>
        <v>0</v>
      </c>
      <c r="M88" s="3">
        <v>0</v>
      </c>
      <c r="N88" s="25"/>
      <c r="O88" s="25"/>
      <c r="P88" s="3">
        <v>0</v>
      </c>
      <c r="Q88" s="25"/>
      <c r="R88" s="25"/>
      <c r="S88" s="29"/>
      <c r="T88" s="29"/>
      <c r="U88" s="29"/>
      <c r="V88" s="29"/>
      <c r="W88" s="29"/>
      <c r="X88" s="4"/>
      <c r="Y88" s="29"/>
      <c r="Z88" s="4"/>
      <c r="AA88" s="28"/>
      <c r="AB88" s="29"/>
      <c r="AC88" s="29"/>
      <c r="AD88" s="29"/>
      <c r="AE88" s="29"/>
      <c r="AF88" s="29"/>
      <c r="AG88" s="29"/>
      <c r="AH88" s="25"/>
      <c r="AI88" s="25">
        <v>8000</v>
      </c>
      <c r="AJ88" s="25">
        <v>8000</v>
      </c>
      <c r="AK88" s="25"/>
      <c r="AL88" s="25">
        <f t="shared" si="13"/>
        <v>0</v>
      </c>
      <c r="AM88" s="25">
        <f t="shared" si="18"/>
        <v>0</v>
      </c>
      <c r="AN88" s="4"/>
      <c r="AO88" s="29"/>
      <c r="AP88" s="4"/>
      <c r="AQ88" s="29"/>
      <c r="AR88" s="29">
        <f t="shared" si="31"/>
        <v>-8000</v>
      </c>
      <c r="AS88" s="29"/>
      <c r="AT88" s="4"/>
      <c r="AV88" s="29">
        <v>0</v>
      </c>
      <c r="AW88" s="29">
        <v>0</v>
      </c>
      <c r="AX88" s="29">
        <v>0</v>
      </c>
      <c r="AY88" s="29"/>
      <c r="AZ88" s="27">
        <f>AW88+AY88</f>
        <v>0</v>
      </c>
      <c r="BA88" s="25">
        <v>0</v>
      </c>
      <c r="BB88" s="29">
        <v>0</v>
      </c>
      <c r="BC88" s="29">
        <f t="shared" si="32"/>
        <v>8000</v>
      </c>
      <c r="BD88" s="27">
        <v>5063</v>
      </c>
      <c r="BE88" s="25">
        <v>14000</v>
      </c>
      <c r="BF88" s="27">
        <v>5530</v>
      </c>
      <c r="BG88" s="25">
        <v>14000</v>
      </c>
      <c r="BH88" s="25"/>
      <c r="BN88" s="29">
        <f t="shared" si="30"/>
        <v>0</v>
      </c>
    </row>
    <row r="89" spans="1:79" ht="11.25" x14ac:dyDescent="0.15">
      <c r="A89" s="4">
        <v>2470</v>
      </c>
      <c r="B89" s="4" t="s">
        <v>93</v>
      </c>
      <c r="D89" s="3">
        <v>10000</v>
      </c>
      <c r="E89" s="3">
        <v>10000</v>
      </c>
      <c r="F89" s="3">
        <v>10000</v>
      </c>
      <c r="G89" s="3">
        <v>10000</v>
      </c>
      <c r="H89" s="3">
        <v>10000</v>
      </c>
      <c r="I89" s="3">
        <v>10000</v>
      </c>
      <c r="J89" s="3">
        <v>10000</v>
      </c>
      <c r="K89" s="3">
        <v>9271</v>
      </c>
      <c r="L89" s="25">
        <f t="shared" si="29"/>
        <v>1749</v>
      </c>
      <c r="M89" s="3">
        <v>7522</v>
      </c>
      <c r="N89" s="25"/>
      <c r="O89" s="25"/>
      <c r="P89" s="3">
        <v>9271</v>
      </c>
      <c r="Q89" s="25"/>
      <c r="R89" s="25"/>
      <c r="S89" s="29"/>
      <c r="T89" s="29"/>
      <c r="U89" s="29"/>
      <c r="V89" s="29"/>
      <c r="W89" s="29"/>
      <c r="X89" s="4"/>
      <c r="Y89" s="29"/>
      <c r="Z89" s="4"/>
      <c r="AA89" s="28"/>
      <c r="AB89" s="29"/>
      <c r="AC89" s="29"/>
      <c r="AD89" s="29"/>
      <c r="AE89" s="29"/>
      <c r="AF89" s="29"/>
      <c r="AG89" s="29"/>
      <c r="AH89" s="35"/>
      <c r="AI89" s="25">
        <v>2500</v>
      </c>
      <c r="AJ89" s="25">
        <v>2500</v>
      </c>
      <c r="AK89" s="25"/>
      <c r="AL89" s="25">
        <f t="shared" ref="AL89:AL110" si="33">AF89-AB89</f>
        <v>0</v>
      </c>
      <c r="AM89" s="25">
        <f t="shared" si="18"/>
        <v>-8747</v>
      </c>
      <c r="AN89" s="4"/>
      <c r="AO89" s="29">
        <v>8747</v>
      </c>
      <c r="AP89" s="4"/>
      <c r="AQ89" s="29"/>
      <c r="AR89" s="29">
        <f t="shared" si="31"/>
        <v>-2500</v>
      </c>
      <c r="AS89" s="29"/>
      <c r="AT89" s="4"/>
      <c r="AV89" s="29">
        <v>3017</v>
      </c>
      <c r="AW89" s="29">
        <v>3017</v>
      </c>
      <c r="AX89" s="29">
        <v>3017</v>
      </c>
      <c r="AY89" s="29"/>
      <c r="AZ89" s="27">
        <f>AW89+AY89</f>
        <v>3017</v>
      </c>
      <c r="BA89" s="25">
        <v>3017</v>
      </c>
      <c r="BB89" s="29">
        <v>3017</v>
      </c>
      <c r="BC89" s="29">
        <f t="shared" si="32"/>
        <v>-517</v>
      </c>
      <c r="BD89" s="27">
        <v>2403</v>
      </c>
      <c r="BE89" s="25">
        <v>2500</v>
      </c>
      <c r="BF89" s="27">
        <v>2320</v>
      </c>
      <c r="BG89" s="25">
        <v>2500</v>
      </c>
      <c r="BH89" s="25"/>
      <c r="BN89" s="29">
        <f t="shared" si="30"/>
        <v>0</v>
      </c>
    </row>
    <row r="90" spans="1:79" ht="11.25" x14ac:dyDescent="0.15">
      <c r="A90" s="4">
        <v>2471</v>
      </c>
      <c r="B90" s="4" t="s">
        <v>94</v>
      </c>
      <c r="D90" s="3">
        <v>12000</v>
      </c>
      <c r="E90" s="3">
        <v>12000</v>
      </c>
      <c r="F90" s="3">
        <v>12000</v>
      </c>
      <c r="G90" s="3">
        <v>12000</v>
      </c>
      <c r="H90" s="3">
        <v>12000</v>
      </c>
      <c r="I90" s="3">
        <v>12000</v>
      </c>
      <c r="J90" s="3">
        <v>12000</v>
      </c>
      <c r="K90" s="3">
        <v>14392</v>
      </c>
      <c r="L90" s="25">
        <f t="shared" si="29"/>
        <v>3018</v>
      </c>
      <c r="M90" s="3">
        <v>11374</v>
      </c>
      <c r="N90" s="25"/>
      <c r="O90" s="25"/>
      <c r="P90" s="3">
        <v>12316</v>
      </c>
      <c r="Q90" s="25"/>
      <c r="R90" s="25"/>
      <c r="S90" s="29"/>
      <c r="T90" s="29"/>
      <c r="U90" s="29"/>
      <c r="V90" s="29"/>
      <c r="W90" s="29"/>
      <c r="X90" s="4"/>
      <c r="Y90" s="29"/>
      <c r="Z90" s="4"/>
      <c r="AA90" s="28"/>
      <c r="AB90" s="29"/>
      <c r="AC90" s="29"/>
      <c r="AD90" s="29"/>
      <c r="AE90" s="29"/>
      <c r="AF90" s="29"/>
      <c r="AG90" s="29"/>
      <c r="AH90" s="35"/>
      <c r="AI90" s="25">
        <v>6000</v>
      </c>
      <c r="AJ90" s="25">
        <v>9000</v>
      </c>
      <c r="AK90" s="25"/>
      <c r="AL90" s="25">
        <f t="shared" si="33"/>
        <v>0</v>
      </c>
      <c r="AM90" s="25">
        <f t="shared" si="18"/>
        <v>-3807</v>
      </c>
      <c r="AN90" s="4"/>
      <c r="AO90" s="29">
        <v>3807</v>
      </c>
      <c r="AP90" s="4"/>
      <c r="AQ90" s="29"/>
      <c r="AR90" s="29">
        <f t="shared" si="31"/>
        <v>-6000</v>
      </c>
      <c r="AS90" s="29"/>
      <c r="AT90" s="4"/>
      <c r="AV90" s="29">
        <v>8736</v>
      </c>
      <c r="AW90" s="29">
        <v>9933</v>
      </c>
      <c r="AX90" s="29">
        <v>8736</v>
      </c>
      <c r="AY90" s="29">
        <v>1000</v>
      </c>
      <c r="AZ90" s="27">
        <v>8736</v>
      </c>
      <c r="BA90" s="25">
        <v>5109</v>
      </c>
      <c r="BB90" s="29">
        <v>3912</v>
      </c>
      <c r="BC90" s="29">
        <f t="shared" si="32"/>
        <v>-2736</v>
      </c>
      <c r="BD90" s="27">
        <v>8830</v>
      </c>
      <c r="BE90" s="25"/>
      <c r="BF90" s="27">
        <v>5523</v>
      </c>
      <c r="BG90" s="25"/>
      <c r="BH90" s="25"/>
      <c r="BI90" s="25"/>
      <c r="BN90" s="29">
        <f t="shared" si="30"/>
        <v>0</v>
      </c>
    </row>
    <row r="91" spans="1:79" x14ac:dyDescent="0.2">
      <c r="D91" s="13"/>
      <c r="E91" s="13"/>
      <c r="F91" s="13"/>
      <c r="G91" s="13"/>
      <c r="H91" s="13"/>
      <c r="I91" s="13"/>
      <c r="J91" s="13"/>
      <c r="K91" s="13"/>
      <c r="L91" s="25"/>
      <c r="M91" s="13"/>
      <c r="N91" s="12"/>
      <c r="O91" s="5"/>
      <c r="P91" s="13"/>
      <c r="Q91" s="5"/>
      <c r="R91" s="5"/>
      <c r="S91" s="5"/>
      <c r="T91" s="5"/>
      <c r="U91" s="7"/>
      <c r="V91" s="8"/>
      <c r="W91" s="5"/>
      <c r="X91" s="4"/>
      <c r="Y91" s="9"/>
      <c r="AC91" s="5"/>
      <c r="AD91" s="5"/>
      <c r="AE91" s="5"/>
      <c r="AF91" s="5"/>
      <c r="AG91" s="5"/>
      <c r="AN91" s="4"/>
      <c r="AR91" s="5"/>
      <c r="AS91" s="5"/>
      <c r="AZ91" s="11"/>
      <c r="BN91" s="5"/>
    </row>
    <row r="92" spans="1:79" x14ac:dyDescent="0.2">
      <c r="D92" s="15" t="s">
        <v>4</v>
      </c>
      <c r="E92" s="15" t="s">
        <v>4</v>
      </c>
      <c r="F92" s="15" t="s">
        <v>4</v>
      </c>
      <c r="G92" s="15" t="s">
        <v>4</v>
      </c>
      <c r="H92" s="15" t="s">
        <v>4</v>
      </c>
      <c r="I92" s="15" t="s">
        <v>4</v>
      </c>
      <c r="J92" s="15" t="s">
        <v>4</v>
      </c>
      <c r="K92" s="13" t="s">
        <v>143</v>
      </c>
      <c r="L92" s="14"/>
      <c r="M92" s="12" t="s">
        <v>155</v>
      </c>
      <c r="N92" s="12"/>
      <c r="O92" s="12"/>
      <c r="P92" s="27"/>
      <c r="Q92" s="12"/>
      <c r="R92" s="13"/>
      <c r="S92" s="18"/>
      <c r="T92" s="12"/>
      <c r="U92" s="18"/>
      <c r="W92" s="5"/>
      <c r="X92" s="4"/>
      <c r="Y92" s="5"/>
      <c r="AB92" s="12"/>
      <c r="AC92" s="5"/>
      <c r="AD92" s="5"/>
      <c r="AE92" s="5"/>
      <c r="AF92" s="5"/>
      <c r="AG92" s="5"/>
      <c r="AH92" s="38"/>
      <c r="AI92" s="12">
        <v>2019</v>
      </c>
      <c r="AJ92" s="12" t="s">
        <v>6</v>
      </c>
      <c r="AK92" s="12"/>
      <c r="AL92" s="12" t="s">
        <v>7</v>
      </c>
      <c r="AM92" s="10" t="s">
        <v>8</v>
      </c>
      <c r="AN92" s="4"/>
      <c r="AO92" s="5" t="s">
        <v>5</v>
      </c>
      <c r="AQ92" s="5" t="s">
        <v>9</v>
      </c>
      <c r="AR92" s="5" t="s">
        <v>10</v>
      </c>
      <c r="AS92" s="5"/>
      <c r="AV92" s="19">
        <v>43830</v>
      </c>
      <c r="AW92" s="19">
        <v>43769</v>
      </c>
      <c r="AX92" s="19">
        <v>43738</v>
      </c>
      <c r="AY92" s="19" t="s">
        <v>11</v>
      </c>
      <c r="AZ92" s="20" t="s">
        <v>5</v>
      </c>
      <c r="BA92" s="17">
        <v>43677</v>
      </c>
      <c r="BB92" s="19">
        <v>43646</v>
      </c>
      <c r="BC92" s="19" t="s">
        <v>12</v>
      </c>
      <c r="BD92" s="21">
        <v>43465</v>
      </c>
      <c r="BE92" s="12">
        <v>2018</v>
      </c>
      <c r="BF92" s="7">
        <v>2017</v>
      </c>
      <c r="BG92" s="12">
        <v>2017</v>
      </c>
      <c r="BH92" s="12"/>
      <c r="BL92" s="4" t="s">
        <v>13</v>
      </c>
      <c r="BN92" s="5" t="s">
        <v>4</v>
      </c>
      <c r="BO92" s="4">
        <v>2021</v>
      </c>
    </row>
    <row r="93" spans="1:79" x14ac:dyDescent="0.2">
      <c r="B93" s="5"/>
      <c r="C93" s="5"/>
      <c r="D93" s="39" t="s">
        <v>159</v>
      </c>
      <c r="E93" s="39" t="s">
        <v>144</v>
      </c>
      <c r="F93" s="39" t="s">
        <v>70</v>
      </c>
      <c r="G93" s="39" t="s">
        <v>71</v>
      </c>
      <c r="H93" s="39" t="s">
        <v>72</v>
      </c>
      <c r="I93" s="39" t="s">
        <v>73</v>
      </c>
      <c r="J93" s="39" t="s">
        <v>73</v>
      </c>
      <c r="K93" s="15" t="s">
        <v>5</v>
      </c>
      <c r="L93" s="14"/>
      <c r="M93" s="12"/>
      <c r="N93" s="16"/>
      <c r="O93" s="12"/>
      <c r="P93" s="17">
        <v>45626</v>
      </c>
      <c r="Q93" s="25"/>
      <c r="R93" s="22"/>
      <c r="S93" s="23"/>
      <c r="T93" s="12"/>
      <c r="U93" s="18"/>
      <c r="V93" s="9"/>
      <c r="W93" s="12"/>
      <c r="X93" s="4"/>
      <c r="Y93" s="9"/>
      <c r="AB93" s="9"/>
      <c r="AC93" s="14"/>
      <c r="AD93" s="14"/>
      <c r="AE93" s="14"/>
      <c r="AF93" s="14"/>
      <c r="AG93" s="14"/>
      <c r="AH93" s="12"/>
      <c r="AI93" s="12" t="s">
        <v>3</v>
      </c>
      <c r="AJ93" s="12"/>
      <c r="AK93" s="12"/>
      <c r="AL93" s="12"/>
      <c r="AN93" s="4"/>
      <c r="AO93" s="9">
        <v>43951</v>
      </c>
      <c r="AQ93" s="14">
        <v>2020</v>
      </c>
      <c r="AR93" s="14" t="s">
        <v>15</v>
      </c>
      <c r="AS93" s="14"/>
      <c r="AU93" s="5">
        <v>2021</v>
      </c>
      <c r="AV93" s="14" t="s">
        <v>14</v>
      </c>
      <c r="AW93" s="14" t="s">
        <v>14</v>
      </c>
      <c r="AX93" s="14" t="s">
        <v>14</v>
      </c>
      <c r="AY93" s="14" t="s">
        <v>16</v>
      </c>
      <c r="AZ93" s="18">
        <v>2019</v>
      </c>
      <c r="BA93" s="12" t="s">
        <v>14</v>
      </c>
      <c r="BB93" s="14" t="s">
        <v>14</v>
      </c>
      <c r="BC93" s="14" t="s">
        <v>17</v>
      </c>
      <c r="BD93" s="24" t="s">
        <v>5</v>
      </c>
      <c r="BE93" s="12" t="s">
        <v>3</v>
      </c>
      <c r="BF93" s="18" t="s">
        <v>14</v>
      </c>
      <c r="BG93" s="12" t="s">
        <v>3</v>
      </c>
      <c r="BH93" s="5">
        <v>2020</v>
      </c>
      <c r="BI93" s="5">
        <v>2019</v>
      </c>
      <c r="BJ93" s="5">
        <v>2018</v>
      </c>
      <c r="BK93" s="5">
        <v>2017</v>
      </c>
      <c r="BL93" s="5">
        <v>2016</v>
      </c>
      <c r="BN93" s="14">
        <v>2021</v>
      </c>
    </row>
    <row r="94" spans="1:79" x14ac:dyDescent="0.2">
      <c r="B94" s="5"/>
      <c r="C94" s="5"/>
      <c r="D94" s="39"/>
      <c r="E94" s="39"/>
      <c r="F94" s="39"/>
      <c r="G94" s="39"/>
      <c r="H94" s="39"/>
      <c r="I94" s="39"/>
      <c r="J94" s="39"/>
      <c r="K94" s="13">
        <v>2025</v>
      </c>
      <c r="L94" s="14" t="s">
        <v>156</v>
      </c>
      <c r="M94" s="12"/>
      <c r="N94" s="12"/>
      <c r="O94" s="12"/>
      <c r="P94" s="27"/>
      <c r="Q94" s="40"/>
      <c r="R94" s="41"/>
      <c r="S94" s="42"/>
      <c r="T94" s="12"/>
      <c r="U94" s="14"/>
      <c r="V94" s="9"/>
      <c r="W94" s="12"/>
      <c r="X94" s="4"/>
      <c r="Y94" s="9"/>
      <c r="AB94" s="9"/>
      <c r="AC94" s="14"/>
      <c r="AD94" s="14"/>
      <c r="AE94" s="14"/>
      <c r="AF94" s="14"/>
      <c r="AG94" s="14"/>
      <c r="AH94" s="12"/>
      <c r="AI94" s="12"/>
      <c r="AJ94" s="12"/>
      <c r="AK94" s="12"/>
      <c r="AL94" s="12"/>
      <c r="AN94" s="4"/>
      <c r="AO94" s="9"/>
      <c r="AQ94" s="14"/>
      <c r="AR94" s="14"/>
      <c r="AS94" s="14"/>
      <c r="AU94" s="5"/>
      <c r="AV94" s="14"/>
      <c r="AW94" s="14"/>
      <c r="AX94" s="14"/>
      <c r="AY94" s="14"/>
      <c r="AZ94" s="18"/>
      <c r="BA94" s="12"/>
      <c r="BB94" s="14"/>
      <c r="BC94" s="14"/>
      <c r="BD94" s="24"/>
      <c r="BE94" s="12"/>
      <c r="BF94" s="18"/>
      <c r="BG94" s="12"/>
      <c r="BH94" s="5"/>
      <c r="BI94" s="5"/>
      <c r="BJ94" s="5"/>
      <c r="BK94" s="5"/>
      <c r="BL94" s="5"/>
      <c r="BN94" s="14"/>
    </row>
    <row r="95" spans="1:79" ht="11.25" x14ac:dyDescent="0.15">
      <c r="A95" s="4">
        <v>2411</v>
      </c>
      <c r="B95" s="4" t="s">
        <v>61</v>
      </c>
      <c r="D95" s="3">
        <v>10000</v>
      </c>
      <c r="E95" s="3">
        <v>10000</v>
      </c>
      <c r="F95" s="3">
        <v>10000</v>
      </c>
      <c r="G95" s="3">
        <v>10000</v>
      </c>
      <c r="H95" s="3">
        <v>10000</v>
      </c>
      <c r="I95" s="3">
        <v>10000</v>
      </c>
      <c r="J95" s="3">
        <v>10000</v>
      </c>
      <c r="K95" s="3">
        <v>0</v>
      </c>
      <c r="L95" s="25">
        <f t="shared" si="29"/>
        <v>0</v>
      </c>
      <c r="M95" s="3">
        <v>0</v>
      </c>
      <c r="N95" s="25"/>
      <c r="O95" s="25"/>
      <c r="P95" s="28">
        <v>0</v>
      </c>
      <c r="Q95" s="25"/>
      <c r="R95" s="25"/>
      <c r="S95" s="29"/>
      <c r="T95" s="29"/>
      <c r="U95" s="29"/>
      <c r="V95" s="29"/>
      <c r="W95" s="29"/>
      <c r="X95" s="4"/>
      <c r="Y95" s="29"/>
      <c r="Z95" s="4"/>
      <c r="AA95" s="28"/>
      <c r="AB95" s="29"/>
      <c r="AC95" s="29"/>
      <c r="AD95" s="29"/>
      <c r="AE95" s="29"/>
      <c r="AF95" s="29"/>
      <c r="AG95" s="29"/>
      <c r="AH95" s="35"/>
      <c r="AI95" s="25">
        <v>10000</v>
      </c>
      <c r="AJ95" s="25">
        <v>10000</v>
      </c>
      <c r="AK95" s="25"/>
      <c r="AL95" s="25">
        <f t="shared" si="33"/>
        <v>0</v>
      </c>
      <c r="AM95" s="25">
        <f t="shared" si="18"/>
        <v>-377</v>
      </c>
      <c r="AN95" s="4"/>
      <c r="AO95" s="29">
        <v>377</v>
      </c>
      <c r="AP95" s="4"/>
      <c r="AQ95" s="29"/>
      <c r="AR95" s="29">
        <f t="shared" si="31"/>
        <v>-10000</v>
      </c>
      <c r="AS95" s="29"/>
      <c r="AT95" s="4"/>
      <c r="AV95" s="29">
        <v>857</v>
      </c>
      <c r="AW95" s="29">
        <v>857</v>
      </c>
      <c r="AX95" s="29">
        <v>857</v>
      </c>
      <c r="AY95" s="29"/>
      <c r="AZ95" s="27">
        <f>AW95+AY95</f>
        <v>857</v>
      </c>
      <c r="BA95" s="25">
        <v>857</v>
      </c>
      <c r="BB95" s="29">
        <v>857</v>
      </c>
      <c r="BC95" s="29">
        <f t="shared" si="32"/>
        <v>9143</v>
      </c>
      <c r="BD95" s="27"/>
      <c r="BE95" s="25">
        <v>10000</v>
      </c>
      <c r="BF95" s="27">
        <f>1201</f>
        <v>1201</v>
      </c>
      <c r="BG95" s="25"/>
      <c r="BH95" s="25"/>
      <c r="BI95" s="25"/>
      <c r="BN95" s="29">
        <f t="shared" si="30"/>
        <v>0</v>
      </c>
    </row>
    <row r="96" spans="1:79" ht="11.25" x14ac:dyDescent="0.15">
      <c r="B96" s="5" t="s">
        <v>95</v>
      </c>
      <c r="C96" s="5"/>
      <c r="D96" s="43">
        <f t="shared" ref="D96" si="34">SUM(D74:D93)+D95</f>
        <v>262000</v>
      </c>
      <c r="E96" s="43">
        <f t="shared" ref="E96:K96" si="35">SUM(E74:E93)+E95</f>
        <v>262000</v>
      </c>
      <c r="F96" s="43">
        <f t="shared" si="35"/>
        <v>262000</v>
      </c>
      <c r="G96" s="43">
        <f t="shared" si="35"/>
        <v>262000</v>
      </c>
      <c r="H96" s="43">
        <f t="shared" si="35"/>
        <v>262000</v>
      </c>
      <c r="I96" s="43">
        <f t="shared" si="35"/>
        <v>262000</v>
      </c>
      <c r="J96" s="43">
        <f t="shared" ref="J96" si="36">SUM(J74:J93)+J95</f>
        <v>256000</v>
      </c>
      <c r="K96" s="43">
        <f t="shared" si="35"/>
        <v>236117</v>
      </c>
      <c r="L96" s="25">
        <f t="shared" si="29"/>
        <v>60081</v>
      </c>
      <c r="M96" s="43">
        <f>SUM(M74:M93)+M95</f>
        <v>176036</v>
      </c>
      <c r="N96" s="35"/>
      <c r="O96" s="35"/>
      <c r="P96" s="43">
        <f>SUM(P74:P90)+P95</f>
        <v>206247</v>
      </c>
      <c r="Q96" s="35"/>
      <c r="R96" s="43"/>
      <c r="S96" s="43"/>
      <c r="T96" s="43"/>
      <c r="U96" s="37"/>
      <c r="V96" s="37"/>
      <c r="W96" s="35"/>
      <c r="X96" s="4"/>
      <c r="Y96" s="37"/>
      <c r="Z96" s="25"/>
      <c r="AA96" s="28"/>
      <c r="AB96" s="37"/>
      <c r="AC96" s="35"/>
      <c r="AD96" s="35"/>
      <c r="AE96" s="35"/>
      <c r="AF96" s="35"/>
      <c r="AG96" s="36"/>
      <c r="AH96" s="35"/>
      <c r="AI96" s="35">
        <f>SUM(AI74:AI95)</f>
        <v>227019</v>
      </c>
      <c r="AJ96" s="35">
        <f>SUM(AJ74:AJ95)</f>
        <v>263000</v>
      </c>
      <c r="AK96" s="35"/>
      <c r="AL96" s="25">
        <f t="shared" si="33"/>
        <v>0</v>
      </c>
      <c r="AM96" s="25">
        <f t="shared" si="18"/>
        <v>-138241</v>
      </c>
      <c r="AN96" s="4"/>
      <c r="AO96" s="37">
        <f>SUM(AO74:AO95)</f>
        <v>138241</v>
      </c>
      <c r="AP96" s="4"/>
      <c r="AQ96" s="37">
        <f>SUM(AQ74:AQ95)</f>
        <v>2020</v>
      </c>
      <c r="AR96" s="35">
        <f>SUM(AR74:AR95)</f>
        <v>-225000</v>
      </c>
      <c r="AS96" s="35"/>
      <c r="AT96" s="4"/>
      <c r="AV96" s="35">
        <f t="shared" ref="AV96:BG96" si="37">SUM(AV74:AV95)</f>
        <v>248065</v>
      </c>
      <c r="AW96" s="35">
        <f t="shared" si="37"/>
        <v>237657</v>
      </c>
      <c r="AX96" s="35">
        <f t="shared" si="37"/>
        <v>205675</v>
      </c>
      <c r="AY96" s="35">
        <f t="shared" si="37"/>
        <v>8650</v>
      </c>
      <c r="AZ96" s="37">
        <f t="shared" si="37"/>
        <v>206254</v>
      </c>
      <c r="BA96" s="35">
        <f t="shared" si="37"/>
        <v>175743</v>
      </c>
      <c r="BB96" s="35">
        <f t="shared" si="37"/>
        <v>168515</v>
      </c>
      <c r="BC96" s="29">
        <f t="shared" si="37"/>
        <v>20765</v>
      </c>
      <c r="BD96" s="37">
        <f t="shared" si="37"/>
        <v>264212</v>
      </c>
      <c r="BE96" s="35">
        <f t="shared" si="37"/>
        <v>215018</v>
      </c>
      <c r="BF96" s="37">
        <f t="shared" si="37"/>
        <v>195211.5</v>
      </c>
      <c r="BG96" s="35">
        <f t="shared" si="37"/>
        <v>205017</v>
      </c>
      <c r="BH96" s="35"/>
      <c r="BN96" s="35">
        <f>SUM(BN74:BN95)</f>
        <v>2021</v>
      </c>
      <c r="CA96" s="25"/>
    </row>
    <row r="97" spans="1:79" ht="11.25" hidden="1" x14ac:dyDescent="0.15">
      <c r="B97" s="5" t="s">
        <v>96</v>
      </c>
      <c r="C97" s="5"/>
      <c r="D97" s="3"/>
      <c r="E97" s="3"/>
      <c r="F97" s="3"/>
      <c r="G97" s="3"/>
      <c r="H97" s="3"/>
      <c r="I97" s="3"/>
      <c r="J97" s="3"/>
      <c r="K97" s="3"/>
      <c r="L97" s="25">
        <f t="shared" si="29"/>
        <v>0</v>
      </c>
      <c r="M97" s="3"/>
      <c r="P97" s="3"/>
      <c r="S97" s="32"/>
      <c r="T97" s="32"/>
      <c r="U97" s="32"/>
      <c r="V97" s="32"/>
      <c r="W97" s="32"/>
      <c r="X97" s="4"/>
      <c r="Y97" s="29"/>
      <c r="Z97" s="4"/>
      <c r="AA97" s="28"/>
      <c r="AB97" s="32"/>
      <c r="AC97" s="32"/>
      <c r="AD97" s="32"/>
      <c r="AE97" s="32"/>
      <c r="AF97" s="32"/>
      <c r="AG97" s="32"/>
      <c r="AL97" s="25">
        <f t="shared" si="33"/>
        <v>0</v>
      </c>
      <c r="AM97" s="25">
        <f t="shared" si="18"/>
        <v>0</v>
      </c>
      <c r="AN97" s="4"/>
      <c r="AO97" s="32"/>
      <c r="AP97" s="4"/>
      <c r="AQ97" s="32"/>
      <c r="AR97" s="32"/>
      <c r="AS97" s="32"/>
      <c r="AT97" s="4"/>
      <c r="AV97" s="32"/>
      <c r="AW97" s="32"/>
      <c r="AX97" s="32"/>
      <c r="AY97" s="32"/>
      <c r="AZ97" s="27">
        <f t="shared" ref="AZ97:AZ105" si="38">AW97+AY97</f>
        <v>0</v>
      </c>
      <c r="BB97" s="32"/>
      <c r="BC97" s="29">
        <f t="shared" ref="BC97:BC105" si="39">AI97-AZ97</f>
        <v>0</v>
      </c>
      <c r="BD97" s="27"/>
      <c r="BF97" s="27"/>
      <c r="BN97" s="32"/>
    </row>
    <row r="98" spans="1:79" ht="11.25" hidden="1" x14ac:dyDescent="0.15">
      <c r="B98" s="4" t="s">
        <v>31</v>
      </c>
      <c r="D98" s="3"/>
      <c r="E98" s="3"/>
      <c r="F98" s="3"/>
      <c r="G98" s="3"/>
      <c r="H98" s="3"/>
      <c r="I98" s="3"/>
      <c r="J98" s="3"/>
      <c r="K98" s="3"/>
      <c r="L98" s="25">
        <f t="shared" si="29"/>
        <v>0</v>
      </c>
      <c r="M98" s="3"/>
      <c r="N98" s="25"/>
      <c r="O98" s="25"/>
      <c r="P98" s="3"/>
      <c r="Q98" s="25"/>
      <c r="R98" s="25"/>
      <c r="S98" s="29"/>
      <c r="T98" s="29"/>
      <c r="U98" s="29"/>
      <c r="V98" s="29"/>
      <c r="W98" s="29"/>
      <c r="X98" s="4"/>
      <c r="Y98" s="29"/>
      <c r="Z98" s="4"/>
      <c r="AA98" s="28"/>
      <c r="AB98" s="29"/>
      <c r="AC98" s="29"/>
      <c r="AD98" s="29"/>
      <c r="AE98" s="29"/>
      <c r="AF98" s="29"/>
      <c r="AG98" s="29"/>
      <c r="AH98" s="25"/>
      <c r="AI98" s="25"/>
      <c r="AJ98" s="25"/>
      <c r="AK98" s="25"/>
      <c r="AL98" s="25">
        <f t="shared" si="33"/>
        <v>0</v>
      </c>
      <c r="AM98" s="25">
        <f t="shared" si="18"/>
        <v>0</v>
      </c>
      <c r="AN98" s="4"/>
      <c r="AO98" s="29"/>
      <c r="AP98" s="4"/>
      <c r="AQ98" s="29"/>
      <c r="AR98" s="29"/>
      <c r="AS98" s="29"/>
      <c r="AT98" s="4"/>
      <c r="AV98" s="29"/>
      <c r="AW98" s="29"/>
      <c r="AX98" s="29"/>
      <c r="AY98" s="29"/>
      <c r="AZ98" s="27">
        <f t="shared" si="38"/>
        <v>0</v>
      </c>
      <c r="BA98" s="25"/>
      <c r="BB98" s="29"/>
      <c r="BC98" s="29">
        <f t="shared" si="39"/>
        <v>0</v>
      </c>
      <c r="BD98" s="37"/>
      <c r="BE98" s="25"/>
      <c r="BF98" s="27"/>
      <c r="BG98" s="25"/>
      <c r="BH98" s="25"/>
      <c r="BN98" s="29"/>
    </row>
    <row r="99" spans="1:79" ht="11.25" hidden="1" x14ac:dyDescent="0.15">
      <c r="B99" s="4" t="s">
        <v>26</v>
      </c>
      <c r="D99" s="3"/>
      <c r="E99" s="3"/>
      <c r="F99" s="3"/>
      <c r="G99" s="3"/>
      <c r="H99" s="3"/>
      <c r="I99" s="3"/>
      <c r="J99" s="3"/>
      <c r="K99" s="3"/>
      <c r="L99" s="25">
        <f t="shared" si="29"/>
        <v>0</v>
      </c>
      <c r="M99" s="3"/>
      <c r="N99" s="25"/>
      <c r="O99" s="25"/>
      <c r="P99" s="3"/>
      <c r="Q99" s="25"/>
      <c r="R99" s="25"/>
      <c r="S99" s="29"/>
      <c r="T99" s="29"/>
      <c r="U99" s="29"/>
      <c r="V99" s="29"/>
      <c r="W99" s="29"/>
      <c r="X99" s="4"/>
      <c r="Y99" s="29"/>
      <c r="Z99" s="4"/>
      <c r="AA99" s="28"/>
      <c r="AB99" s="29"/>
      <c r="AC99" s="29"/>
      <c r="AD99" s="29"/>
      <c r="AE99" s="29"/>
      <c r="AF99" s="29"/>
      <c r="AG99" s="29"/>
      <c r="AH99" s="25"/>
      <c r="AI99" s="25">
        <v>0</v>
      </c>
      <c r="AJ99" s="25"/>
      <c r="AK99" s="25"/>
      <c r="AL99" s="25">
        <f t="shared" si="33"/>
        <v>0</v>
      </c>
      <c r="AM99" s="25">
        <f t="shared" si="18"/>
        <v>0</v>
      </c>
      <c r="AN99" s="4"/>
      <c r="AO99" s="29"/>
      <c r="AP99" s="4"/>
      <c r="AQ99" s="29"/>
      <c r="AR99" s="29"/>
      <c r="AS99" s="29"/>
      <c r="AT99" s="4"/>
      <c r="AV99" s="29"/>
      <c r="AW99" s="29"/>
      <c r="AX99" s="29"/>
      <c r="AY99" s="29"/>
      <c r="AZ99" s="27">
        <f t="shared" si="38"/>
        <v>0</v>
      </c>
      <c r="BA99" s="25"/>
      <c r="BB99" s="29"/>
      <c r="BC99" s="29">
        <f t="shared" si="39"/>
        <v>0</v>
      </c>
      <c r="BD99" s="37"/>
      <c r="BE99" s="25">
        <v>0</v>
      </c>
      <c r="BF99" s="27">
        <v>0</v>
      </c>
      <c r="BG99" s="25">
        <v>0</v>
      </c>
      <c r="BH99" s="25"/>
      <c r="BN99" s="29"/>
    </row>
    <row r="100" spans="1:79" ht="11.25" hidden="1" x14ac:dyDescent="0.15">
      <c r="B100" s="4" t="s">
        <v>97</v>
      </c>
      <c r="D100" s="3"/>
      <c r="E100" s="3"/>
      <c r="F100" s="3"/>
      <c r="G100" s="3"/>
      <c r="H100" s="3"/>
      <c r="I100" s="3"/>
      <c r="J100" s="3"/>
      <c r="K100" s="3"/>
      <c r="L100" s="25">
        <f t="shared" si="29"/>
        <v>0</v>
      </c>
      <c r="M100" s="3"/>
      <c r="N100" s="25"/>
      <c r="O100" s="25"/>
      <c r="P100" s="3"/>
      <c r="Q100" s="25"/>
      <c r="R100" s="25"/>
      <c r="S100" s="29"/>
      <c r="T100" s="29"/>
      <c r="U100" s="29"/>
      <c r="V100" s="29"/>
      <c r="W100" s="29"/>
      <c r="X100" s="4"/>
      <c r="Y100" s="29"/>
      <c r="Z100" s="4"/>
      <c r="AA100" s="28"/>
      <c r="AB100" s="29"/>
      <c r="AC100" s="29"/>
      <c r="AD100" s="29"/>
      <c r="AE100" s="29"/>
      <c r="AF100" s="29"/>
      <c r="AG100" s="29"/>
      <c r="AH100" s="25"/>
      <c r="AI100" s="25"/>
      <c r="AJ100" s="25"/>
      <c r="AK100" s="25"/>
      <c r="AL100" s="25">
        <f t="shared" si="33"/>
        <v>0</v>
      </c>
      <c r="AM100" s="25">
        <f t="shared" si="18"/>
        <v>0</v>
      </c>
      <c r="AN100" s="4"/>
      <c r="AO100" s="29"/>
      <c r="AP100" s="4"/>
      <c r="AQ100" s="29"/>
      <c r="AR100" s="29"/>
      <c r="AS100" s="29"/>
      <c r="AT100" s="4"/>
      <c r="AV100" s="29"/>
      <c r="AW100" s="29"/>
      <c r="AX100" s="29"/>
      <c r="AY100" s="29"/>
      <c r="AZ100" s="27">
        <f t="shared" si="38"/>
        <v>0</v>
      </c>
      <c r="BA100" s="25"/>
      <c r="BB100" s="29"/>
      <c r="BC100" s="29">
        <f t="shared" si="39"/>
        <v>0</v>
      </c>
      <c r="BD100" s="37"/>
      <c r="BE100" s="25"/>
      <c r="BF100" s="27"/>
      <c r="BG100" s="25"/>
      <c r="BH100" s="25"/>
      <c r="BN100" s="29"/>
    </row>
    <row r="101" spans="1:79" ht="11.25" hidden="1" x14ac:dyDescent="0.15">
      <c r="B101" s="4" t="s">
        <v>32</v>
      </c>
      <c r="D101" s="3">
        <f t="shared" ref="D101" si="40">SUM(D23:D100)</f>
        <v>4296839</v>
      </c>
      <c r="E101" s="3">
        <f t="shared" ref="E101:K101" si="41">SUM(E23:E100)</f>
        <v>4396839</v>
      </c>
      <c r="F101" s="3">
        <f t="shared" si="41"/>
        <v>5235154</v>
      </c>
      <c r="G101" s="3">
        <f t="shared" si="41"/>
        <v>5262160</v>
      </c>
      <c r="H101" s="3">
        <f t="shared" si="41"/>
        <v>4524502</v>
      </c>
      <c r="I101" s="3">
        <f t="shared" si="41"/>
        <v>4429427</v>
      </c>
      <c r="J101" s="3">
        <f t="shared" ref="J101" si="42">SUM(J23:J100)</f>
        <v>4417627</v>
      </c>
      <c r="K101" s="3">
        <f t="shared" si="41"/>
        <v>4043289</v>
      </c>
      <c r="L101" s="25">
        <f t="shared" si="29"/>
        <v>1170214</v>
      </c>
      <c r="M101" s="3">
        <f>SUM(M23:M100)</f>
        <v>2873075</v>
      </c>
      <c r="N101" s="25"/>
      <c r="O101" s="25"/>
      <c r="P101" s="3">
        <f>SUM(P23:P100)</f>
        <v>4393139</v>
      </c>
      <c r="Q101" s="25"/>
      <c r="R101" s="25"/>
      <c r="S101" s="29"/>
      <c r="T101" s="29"/>
      <c r="U101" s="29"/>
      <c r="V101" s="29"/>
      <c r="W101" s="29"/>
      <c r="X101" s="4"/>
      <c r="Y101" s="29"/>
      <c r="Z101" s="4"/>
      <c r="AA101" s="28"/>
      <c r="AB101" s="29"/>
      <c r="AC101" s="29"/>
      <c r="AD101" s="29"/>
      <c r="AE101" s="29"/>
      <c r="AF101" s="29"/>
      <c r="AG101" s="29"/>
      <c r="AH101" s="25"/>
      <c r="AI101" s="25"/>
      <c r="AJ101" s="25"/>
      <c r="AK101" s="25"/>
      <c r="AL101" s="25">
        <f t="shared" si="33"/>
        <v>0</v>
      </c>
      <c r="AM101" s="25">
        <f t="shared" si="18"/>
        <v>0</v>
      </c>
      <c r="AN101" s="4"/>
      <c r="AO101" s="29"/>
      <c r="AP101" s="4"/>
      <c r="AQ101" s="29"/>
      <c r="AR101" s="29"/>
      <c r="AS101" s="29"/>
      <c r="AT101" s="4"/>
      <c r="AV101" s="29"/>
      <c r="AW101" s="29"/>
      <c r="AX101" s="29"/>
      <c r="AY101" s="29"/>
      <c r="AZ101" s="27">
        <f t="shared" si="38"/>
        <v>0</v>
      </c>
      <c r="BA101" s="25"/>
      <c r="BB101" s="29"/>
      <c r="BC101" s="29">
        <f t="shared" si="39"/>
        <v>0</v>
      </c>
      <c r="BD101" s="37"/>
      <c r="BE101" s="25"/>
      <c r="BF101" s="27"/>
      <c r="BG101" s="25"/>
      <c r="BH101" s="25"/>
      <c r="BN101" s="29"/>
    </row>
    <row r="102" spans="1:79" ht="11.25" hidden="1" x14ac:dyDescent="0.15">
      <c r="B102" s="5"/>
      <c r="C102" s="5"/>
      <c r="D102" s="3"/>
      <c r="E102" s="3"/>
      <c r="F102" s="3"/>
      <c r="G102" s="3"/>
      <c r="H102" s="3"/>
      <c r="I102" s="3"/>
      <c r="J102" s="3"/>
      <c r="K102" s="3"/>
      <c r="L102" s="25">
        <f t="shared" si="29"/>
        <v>0</v>
      </c>
      <c r="M102" s="3"/>
      <c r="P102" s="3"/>
      <c r="S102" s="32"/>
      <c r="T102" s="32"/>
      <c r="U102" s="32"/>
      <c r="V102" s="32"/>
      <c r="W102" s="32"/>
      <c r="X102" s="4"/>
      <c r="Y102" s="29"/>
      <c r="Z102" s="4"/>
      <c r="AA102" s="28"/>
      <c r="AB102" s="32"/>
      <c r="AC102" s="32"/>
      <c r="AD102" s="32"/>
      <c r="AE102" s="32"/>
      <c r="AF102" s="32"/>
      <c r="AG102" s="32"/>
      <c r="AL102" s="25">
        <f t="shared" si="33"/>
        <v>0</v>
      </c>
      <c r="AM102" s="25">
        <f t="shared" si="18"/>
        <v>0</v>
      </c>
      <c r="AN102" s="4"/>
      <c r="AO102" s="32"/>
      <c r="AP102" s="4"/>
      <c r="AQ102" s="32"/>
      <c r="AR102" s="32"/>
      <c r="AS102" s="32"/>
      <c r="AT102" s="4"/>
      <c r="AV102" s="32"/>
      <c r="AW102" s="32"/>
      <c r="AX102" s="32"/>
      <c r="AY102" s="32"/>
      <c r="AZ102" s="27">
        <f t="shared" si="38"/>
        <v>0</v>
      </c>
      <c r="BB102" s="32"/>
      <c r="BC102" s="29">
        <f t="shared" si="39"/>
        <v>0</v>
      </c>
      <c r="BD102" s="37"/>
      <c r="BF102" s="27"/>
      <c r="BN102" s="32"/>
    </row>
    <row r="103" spans="1:79" ht="11.25" hidden="1" x14ac:dyDescent="0.15">
      <c r="B103" s="5" t="s">
        <v>98</v>
      </c>
      <c r="C103" s="5"/>
      <c r="D103" s="3"/>
      <c r="E103" s="3"/>
      <c r="F103" s="3"/>
      <c r="G103" s="3"/>
      <c r="H103" s="3"/>
      <c r="I103" s="3"/>
      <c r="J103" s="3"/>
      <c r="K103" s="3"/>
      <c r="L103" s="25">
        <f t="shared" si="29"/>
        <v>0</v>
      </c>
      <c r="M103" s="3"/>
      <c r="N103" s="35"/>
      <c r="O103" s="35"/>
      <c r="P103" s="3"/>
      <c r="Q103" s="35"/>
      <c r="R103" s="35"/>
      <c r="S103" s="36"/>
      <c r="T103" s="36"/>
      <c r="U103" s="36"/>
      <c r="V103" s="36"/>
      <c r="W103" s="36"/>
      <c r="X103" s="4"/>
      <c r="Y103" s="29"/>
      <c r="Z103" s="4"/>
      <c r="AA103" s="28"/>
      <c r="AB103" s="36"/>
      <c r="AC103" s="36"/>
      <c r="AD103" s="36"/>
      <c r="AE103" s="36"/>
      <c r="AF103" s="36"/>
      <c r="AG103" s="36"/>
      <c r="AH103" s="35"/>
      <c r="AI103" s="35">
        <v>0</v>
      </c>
      <c r="AJ103" s="35"/>
      <c r="AK103" s="35"/>
      <c r="AL103" s="25">
        <f t="shared" si="33"/>
        <v>0</v>
      </c>
      <c r="AM103" s="25">
        <f t="shared" si="18"/>
        <v>0</v>
      </c>
      <c r="AN103" s="4"/>
      <c r="AO103" s="36"/>
      <c r="AP103" s="4"/>
      <c r="AQ103" s="36"/>
      <c r="AR103" s="36"/>
      <c r="AS103" s="36"/>
      <c r="AT103" s="4"/>
      <c r="AV103" s="36"/>
      <c r="AW103" s="36"/>
      <c r="AX103" s="36"/>
      <c r="AY103" s="36"/>
      <c r="AZ103" s="27">
        <f t="shared" si="38"/>
        <v>0</v>
      </c>
      <c r="BA103" s="35"/>
      <c r="BB103" s="36"/>
      <c r="BC103" s="29">
        <f t="shared" si="39"/>
        <v>0</v>
      </c>
      <c r="BD103" s="27">
        <v>0</v>
      </c>
      <c r="BE103" s="35">
        <v>0</v>
      </c>
      <c r="BF103" s="37">
        <v>0</v>
      </c>
      <c r="BG103" s="35">
        <v>0</v>
      </c>
      <c r="BH103" s="35"/>
      <c r="BN103" s="36"/>
    </row>
    <row r="104" spans="1:79" ht="11.25" hidden="1" x14ac:dyDescent="0.15">
      <c r="B104" s="5"/>
      <c r="C104" s="5"/>
      <c r="D104" s="3"/>
      <c r="E104" s="3"/>
      <c r="F104" s="3"/>
      <c r="G104" s="3"/>
      <c r="H104" s="3"/>
      <c r="I104" s="3"/>
      <c r="J104" s="3"/>
      <c r="K104" s="3"/>
      <c r="L104" s="25">
        <f t="shared" si="29"/>
        <v>0</v>
      </c>
      <c r="M104" s="3"/>
      <c r="N104" s="35"/>
      <c r="O104" s="35"/>
      <c r="P104" s="3"/>
      <c r="Q104" s="35"/>
      <c r="R104" s="35"/>
      <c r="S104" s="36"/>
      <c r="T104" s="36"/>
      <c r="U104" s="36"/>
      <c r="V104" s="36"/>
      <c r="W104" s="36"/>
      <c r="X104" s="4"/>
      <c r="Y104" s="29"/>
      <c r="Z104" s="4"/>
      <c r="AA104" s="28"/>
      <c r="AB104" s="36"/>
      <c r="AC104" s="36"/>
      <c r="AD104" s="36"/>
      <c r="AE104" s="36"/>
      <c r="AF104" s="36"/>
      <c r="AG104" s="36"/>
      <c r="AH104" s="35"/>
      <c r="AI104" s="35"/>
      <c r="AJ104" s="35"/>
      <c r="AK104" s="35"/>
      <c r="AL104" s="25">
        <f t="shared" si="33"/>
        <v>0</v>
      </c>
      <c r="AM104" s="25">
        <f t="shared" si="18"/>
        <v>0</v>
      </c>
      <c r="AN104" s="4"/>
      <c r="AO104" s="36"/>
      <c r="AP104" s="4"/>
      <c r="AQ104" s="36"/>
      <c r="AR104" s="36"/>
      <c r="AS104" s="36"/>
      <c r="AT104" s="4"/>
      <c r="AV104" s="36"/>
      <c r="AW104" s="36"/>
      <c r="AX104" s="36"/>
      <c r="AY104" s="36"/>
      <c r="AZ104" s="27">
        <f t="shared" si="38"/>
        <v>0</v>
      </c>
      <c r="BA104" s="35"/>
      <c r="BB104" s="36"/>
      <c r="BC104" s="29">
        <f t="shared" si="39"/>
        <v>0</v>
      </c>
      <c r="BD104" s="27"/>
      <c r="BE104" s="35"/>
      <c r="BF104" s="37"/>
      <c r="BG104" s="35"/>
      <c r="BH104" s="35"/>
      <c r="BN104" s="36"/>
    </row>
    <row r="105" spans="1:79" ht="11.25" x14ac:dyDescent="0.15">
      <c r="B105" s="4" t="s">
        <v>99</v>
      </c>
      <c r="D105" s="3"/>
      <c r="E105" s="3"/>
      <c r="F105" s="3"/>
      <c r="G105" s="3"/>
      <c r="H105" s="3"/>
      <c r="I105" s="3"/>
      <c r="J105" s="3"/>
      <c r="K105" s="3">
        <v>-18560</v>
      </c>
      <c r="L105" s="25"/>
      <c r="M105" s="3"/>
      <c r="N105" s="25"/>
      <c r="O105" s="25"/>
      <c r="P105" s="3"/>
      <c r="Q105" s="25"/>
      <c r="R105" s="25"/>
      <c r="S105" s="29"/>
      <c r="T105" s="29"/>
      <c r="U105" s="29"/>
      <c r="V105" s="29"/>
      <c r="W105" s="29"/>
      <c r="X105" s="4"/>
      <c r="Y105" s="29"/>
      <c r="Z105" s="4"/>
      <c r="AA105" s="28"/>
      <c r="AB105" s="29"/>
      <c r="AC105" s="29"/>
      <c r="AD105" s="29"/>
      <c r="AE105" s="29"/>
      <c r="AF105" s="29"/>
      <c r="AG105" s="29"/>
      <c r="AH105" s="25"/>
      <c r="AI105" s="25">
        <v>0</v>
      </c>
      <c r="AJ105" s="25"/>
      <c r="AK105" s="25"/>
      <c r="AL105" s="25">
        <f t="shared" si="33"/>
        <v>0</v>
      </c>
      <c r="AM105" s="25">
        <f t="shared" si="18"/>
        <v>0</v>
      </c>
      <c r="AN105" s="4"/>
      <c r="AO105" s="29"/>
      <c r="AP105" s="4"/>
      <c r="AQ105" s="29"/>
      <c r="AR105" s="29"/>
      <c r="AS105" s="29"/>
      <c r="AT105" s="4"/>
      <c r="AV105" s="29"/>
      <c r="AW105" s="29"/>
      <c r="AX105" s="29"/>
      <c r="AY105" s="29"/>
      <c r="AZ105" s="27">
        <f t="shared" si="38"/>
        <v>0</v>
      </c>
      <c r="BA105" s="25"/>
      <c r="BB105" s="29"/>
      <c r="BC105" s="29">
        <f t="shared" si="39"/>
        <v>0</v>
      </c>
      <c r="BD105" s="27">
        <v>0</v>
      </c>
      <c r="BE105" s="25">
        <v>1000</v>
      </c>
      <c r="BF105" s="27">
        <v>0</v>
      </c>
      <c r="BG105" s="25">
        <v>1000</v>
      </c>
      <c r="BH105" s="25"/>
      <c r="BN105" s="29">
        <f>BL105+BM105</f>
        <v>0</v>
      </c>
    </row>
    <row r="106" spans="1:79" ht="11.25" x14ac:dyDescent="0.15">
      <c r="A106" s="4">
        <v>3220</v>
      </c>
      <c r="B106" s="4" t="s">
        <v>100</v>
      </c>
      <c r="D106" s="3">
        <v>45000</v>
      </c>
      <c r="E106" s="3">
        <v>45000</v>
      </c>
      <c r="F106" s="3">
        <v>45000</v>
      </c>
      <c r="G106" s="3">
        <v>45000</v>
      </c>
      <c r="H106" s="3">
        <v>45000</v>
      </c>
      <c r="I106" s="3">
        <v>45000</v>
      </c>
      <c r="J106" s="3">
        <v>45000</v>
      </c>
      <c r="K106" s="3">
        <v>37605</v>
      </c>
      <c r="L106" s="25">
        <f t="shared" si="29"/>
        <v>6885</v>
      </c>
      <c r="M106" s="3">
        <f>402+30318</f>
        <v>30720</v>
      </c>
      <c r="N106" s="25"/>
      <c r="O106" s="25"/>
      <c r="P106" s="3">
        <v>28105</v>
      </c>
      <c r="Q106" s="25"/>
      <c r="R106" s="25"/>
      <c r="S106" s="29"/>
      <c r="T106" s="29"/>
      <c r="U106" s="29"/>
      <c r="V106" s="29"/>
      <c r="W106" s="29"/>
      <c r="X106" s="4"/>
      <c r="Y106" s="29"/>
      <c r="Z106" s="4"/>
      <c r="AA106" s="28"/>
      <c r="AB106" s="29"/>
      <c r="AC106" s="29"/>
      <c r="AD106" s="29"/>
      <c r="AE106" s="29"/>
      <c r="AF106" s="29"/>
      <c r="AG106" s="29"/>
      <c r="AH106" s="25"/>
      <c r="AI106" s="25">
        <v>-51000</v>
      </c>
      <c r="AJ106" s="29">
        <v>-11538</v>
      </c>
      <c r="AK106" s="25"/>
      <c r="AL106" s="25">
        <f t="shared" si="33"/>
        <v>0</v>
      </c>
      <c r="AM106" s="25">
        <f t="shared" si="18"/>
        <v>11538</v>
      </c>
      <c r="AN106" s="4"/>
      <c r="AO106" s="29">
        <v>-11538</v>
      </c>
      <c r="AP106" s="4"/>
      <c r="AQ106" s="29"/>
      <c r="AR106" s="29">
        <f>AF106-AI106</f>
        <v>51000</v>
      </c>
      <c r="AS106" s="29"/>
      <c r="AT106" s="4"/>
      <c r="AV106" s="29">
        <f>-46144-45186</f>
        <v>-91330</v>
      </c>
      <c r="AW106" s="29">
        <v>-46144</v>
      </c>
      <c r="AX106" s="29">
        <v>-34144</v>
      </c>
      <c r="AY106" s="29">
        <v>-5000</v>
      </c>
      <c r="AZ106" s="27">
        <v>-46144</v>
      </c>
      <c r="BA106" s="25">
        <v>-10114</v>
      </c>
      <c r="BB106" s="29">
        <v>-10114</v>
      </c>
      <c r="BC106" s="29">
        <f>AZ106-AI106</f>
        <v>4856</v>
      </c>
      <c r="BD106" s="27">
        <v>-55898</v>
      </c>
      <c r="BE106" s="25">
        <v>-54000</v>
      </c>
      <c r="BF106" s="27">
        <v>-50370.18</v>
      </c>
      <c r="BG106" s="25">
        <v>-55000</v>
      </c>
      <c r="BH106" s="25"/>
      <c r="BN106" s="29">
        <f>BL106+BM106</f>
        <v>0</v>
      </c>
      <c r="CA106" s="25"/>
    </row>
    <row r="107" spans="1:79" ht="11.25" x14ac:dyDescent="0.15">
      <c r="A107" s="4">
        <v>3230</v>
      </c>
      <c r="B107" s="4" t="s">
        <v>101</v>
      </c>
      <c r="D107" s="3">
        <v>15000</v>
      </c>
      <c r="E107" s="3">
        <v>15000</v>
      </c>
      <c r="F107" s="3">
        <v>15000</v>
      </c>
      <c r="G107" s="3">
        <v>15000</v>
      </c>
      <c r="H107" s="3">
        <v>15000</v>
      </c>
      <c r="I107" s="3">
        <v>15000</v>
      </c>
      <c r="J107" s="3">
        <v>15000</v>
      </c>
      <c r="K107" s="3">
        <v>12500</v>
      </c>
      <c r="L107" s="25">
        <f t="shared" si="29"/>
        <v>957</v>
      </c>
      <c r="M107" s="3">
        <v>11543</v>
      </c>
      <c r="N107" s="25"/>
      <c r="O107" s="25"/>
      <c r="P107" s="3" t="s">
        <v>141</v>
      </c>
      <c r="Q107" s="25"/>
      <c r="R107" s="25"/>
      <c r="S107" s="29"/>
      <c r="T107" s="29"/>
      <c r="U107" s="29"/>
      <c r="V107" s="29"/>
      <c r="W107" s="29"/>
      <c r="X107" s="4"/>
      <c r="Y107" s="29"/>
      <c r="Z107" s="4"/>
      <c r="AA107" s="28"/>
      <c r="AB107" s="29"/>
      <c r="AC107" s="29"/>
      <c r="AD107" s="29"/>
      <c r="AE107" s="29"/>
      <c r="AF107" s="29"/>
      <c r="AG107" s="29"/>
      <c r="AH107" s="25"/>
      <c r="AI107" s="25"/>
      <c r="AJ107" s="29">
        <v>-51000</v>
      </c>
      <c r="AK107" s="25"/>
      <c r="AL107" s="25">
        <f t="shared" si="33"/>
        <v>0</v>
      </c>
      <c r="AM107" s="25">
        <f t="shared" si="18"/>
        <v>0</v>
      </c>
      <c r="AN107" s="4"/>
      <c r="AO107" s="29"/>
      <c r="AP107" s="4"/>
      <c r="AQ107" s="29"/>
      <c r="AR107" s="29"/>
      <c r="AS107" s="29"/>
      <c r="AT107" s="4"/>
      <c r="AV107" s="29"/>
      <c r="AW107" s="29"/>
      <c r="AX107" s="29"/>
      <c r="AY107" s="29"/>
      <c r="AZ107" s="27">
        <v>-32025</v>
      </c>
      <c r="BA107" s="25"/>
      <c r="BB107" s="29"/>
      <c r="BC107" s="29"/>
      <c r="BD107" s="27"/>
      <c r="BE107" s="25"/>
      <c r="BF107" s="27"/>
      <c r="BG107" s="25"/>
      <c r="BH107" s="25"/>
      <c r="BN107" s="29"/>
    </row>
    <row r="108" spans="1:79" ht="11.25" x14ac:dyDescent="0.15">
      <c r="B108" s="5" t="s">
        <v>102</v>
      </c>
      <c r="C108" s="5"/>
      <c r="D108" s="43">
        <f t="shared" ref="D108" si="43">SUM(D106:D107)</f>
        <v>60000</v>
      </c>
      <c r="E108" s="43">
        <f t="shared" ref="E108" si="44">SUM(E106:E107)</f>
        <v>60000</v>
      </c>
      <c r="F108" s="43">
        <f t="shared" ref="F108:I108" si="45">SUM(F106:F107)</f>
        <v>60000</v>
      </c>
      <c r="G108" s="43">
        <f t="shared" si="45"/>
        <v>60000</v>
      </c>
      <c r="H108" s="43">
        <f t="shared" si="45"/>
        <v>60000</v>
      </c>
      <c r="I108" s="43">
        <f t="shared" si="45"/>
        <v>60000</v>
      </c>
      <c r="J108" s="43">
        <f t="shared" ref="J108" si="46">SUM(J106:J107)</f>
        <v>60000</v>
      </c>
      <c r="K108" s="43">
        <f>SUM(K105:K107)</f>
        <v>31545</v>
      </c>
      <c r="L108" s="25">
        <f t="shared" si="29"/>
        <v>-10718</v>
      </c>
      <c r="M108" s="43">
        <f t="shared" ref="M108" si="47">SUM(M106:M107)</f>
        <v>42263</v>
      </c>
      <c r="N108" s="35"/>
      <c r="O108" s="35"/>
      <c r="P108" s="43">
        <f t="shared" ref="P108" si="48">SUM(P106:P107)</f>
        <v>28105</v>
      </c>
      <c r="Q108" s="35"/>
      <c r="R108" s="35"/>
      <c r="S108" s="36"/>
      <c r="T108" s="36"/>
      <c r="U108" s="36"/>
      <c r="V108" s="36"/>
      <c r="W108" s="36"/>
      <c r="X108" s="4"/>
      <c r="Y108" s="36"/>
      <c r="Z108" s="4"/>
      <c r="AA108" s="28"/>
      <c r="AB108" s="36"/>
      <c r="AC108" s="36"/>
      <c r="AD108" s="36"/>
      <c r="AE108" s="36"/>
      <c r="AF108" s="36"/>
      <c r="AG108" s="36"/>
      <c r="AH108" s="25"/>
      <c r="AI108" s="35">
        <f>AI105+AI106</f>
        <v>-51000</v>
      </c>
      <c r="AJ108" s="36">
        <f>AJ107+AJ106</f>
        <v>-62538</v>
      </c>
      <c r="AK108" s="35"/>
      <c r="AL108" s="25">
        <f t="shared" si="33"/>
        <v>0</v>
      </c>
      <c r="AM108" s="25">
        <f t="shared" si="18"/>
        <v>11538</v>
      </c>
      <c r="AN108" s="4"/>
      <c r="AO108" s="36">
        <f>AO105+AO106</f>
        <v>-11538</v>
      </c>
      <c r="AP108" s="4"/>
      <c r="AQ108" s="36"/>
      <c r="AR108" s="29">
        <f>AF108-AI108</f>
        <v>51000</v>
      </c>
      <c r="AS108" s="36"/>
      <c r="AT108" s="4"/>
      <c r="AV108" s="36">
        <f>AV105+AV106</f>
        <v>-91330</v>
      </c>
      <c r="AW108" s="36">
        <f>AW105+AW106</f>
        <v>-46144</v>
      </c>
      <c r="AX108" s="36">
        <f>AX105+AX106</f>
        <v>-34144</v>
      </c>
      <c r="AY108" s="36"/>
      <c r="AZ108" s="37">
        <f>SUM(AZ97:AZ107)</f>
        <v>-78169</v>
      </c>
      <c r="BA108" s="35">
        <f t="shared" ref="BA108:BG108" si="49">BA105+BA106</f>
        <v>-10114</v>
      </c>
      <c r="BB108" s="36">
        <f t="shared" si="49"/>
        <v>-10114</v>
      </c>
      <c r="BC108" s="29">
        <f>AZ108-AI108</f>
        <v>-27169</v>
      </c>
      <c r="BD108" s="37">
        <f t="shared" si="49"/>
        <v>-55898</v>
      </c>
      <c r="BE108" s="35">
        <f t="shared" si="49"/>
        <v>-53000</v>
      </c>
      <c r="BF108" s="37">
        <f t="shared" si="49"/>
        <v>-50370.18</v>
      </c>
      <c r="BG108" s="35">
        <f t="shared" si="49"/>
        <v>-54000</v>
      </c>
      <c r="BH108" s="35"/>
      <c r="BN108" s="36">
        <f>SUM(BN105:BN106)</f>
        <v>0</v>
      </c>
    </row>
    <row r="109" spans="1:79" ht="11.25" x14ac:dyDescent="0.15">
      <c r="B109" s="5"/>
      <c r="C109" s="5"/>
      <c r="D109" s="43"/>
      <c r="E109" s="43"/>
      <c r="F109" s="43"/>
      <c r="G109" s="43"/>
      <c r="H109" s="43"/>
      <c r="I109" s="43"/>
      <c r="J109" s="43"/>
      <c r="K109" s="43"/>
      <c r="L109" s="25"/>
      <c r="M109" s="43"/>
      <c r="N109" s="35"/>
      <c r="O109" s="35"/>
      <c r="P109" s="43"/>
      <c r="Q109" s="35"/>
      <c r="R109" s="35"/>
      <c r="S109" s="36"/>
      <c r="T109" s="36"/>
      <c r="U109" s="36"/>
      <c r="V109" s="36"/>
      <c r="W109" s="36"/>
      <c r="X109" s="4"/>
      <c r="Y109" s="36"/>
      <c r="Z109" s="4"/>
      <c r="AA109" s="28"/>
      <c r="AB109" s="36"/>
      <c r="AC109" s="36"/>
      <c r="AD109" s="36"/>
      <c r="AE109" s="36"/>
      <c r="AF109" s="36"/>
      <c r="AG109" s="36"/>
      <c r="AH109" s="35"/>
      <c r="AI109" s="35"/>
      <c r="AJ109" s="36"/>
      <c r="AK109" s="35"/>
      <c r="AL109" s="25"/>
      <c r="AM109" s="25"/>
      <c r="AN109" s="4"/>
      <c r="AO109" s="36"/>
      <c r="AP109" s="4"/>
      <c r="AQ109" s="36"/>
      <c r="AR109" s="29"/>
      <c r="AS109" s="36"/>
      <c r="AT109" s="4"/>
      <c r="AV109" s="36"/>
      <c r="AW109" s="36"/>
      <c r="AX109" s="36"/>
      <c r="AY109" s="36"/>
      <c r="AZ109" s="35"/>
      <c r="BA109" s="35"/>
      <c r="BB109" s="36"/>
      <c r="BC109" s="29"/>
      <c r="BD109" s="37"/>
      <c r="BE109" s="35"/>
      <c r="BF109" s="37"/>
      <c r="BG109" s="35"/>
      <c r="BH109" s="35"/>
      <c r="BN109" s="36"/>
    </row>
    <row r="110" spans="1:79" ht="11.25" x14ac:dyDescent="0.15">
      <c r="B110" s="5" t="s">
        <v>103</v>
      </c>
      <c r="C110" s="5"/>
      <c r="D110" s="43">
        <f t="shared" ref="D110" si="50">D23-D55-D71-D96-D108</f>
        <v>-112282</v>
      </c>
      <c r="E110" s="43">
        <f t="shared" ref="E110:K110" si="51">E23-E55-E71-E96-E108</f>
        <v>-12282</v>
      </c>
      <c r="F110" s="43">
        <f t="shared" si="51"/>
        <v>89233</v>
      </c>
      <c r="G110" s="43">
        <f t="shared" si="51"/>
        <v>75730</v>
      </c>
      <c r="H110" s="43">
        <f t="shared" si="51"/>
        <v>-109301</v>
      </c>
      <c r="I110" s="43">
        <f t="shared" si="51"/>
        <v>-28576</v>
      </c>
      <c r="J110" s="43">
        <f t="shared" ref="J110" si="52">J23-J55-J71-J96-J108</f>
        <v>-22676</v>
      </c>
      <c r="K110" s="43">
        <f t="shared" si="51"/>
        <v>132475</v>
      </c>
      <c r="L110" s="25">
        <f t="shared" si="29"/>
        <v>-223748</v>
      </c>
      <c r="M110" s="43">
        <f>M23-M55-M71-M96-M108</f>
        <v>356223</v>
      </c>
      <c r="N110" s="35"/>
      <c r="O110" s="35"/>
      <c r="P110" s="43">
        <f>P23-P55-P71-P96-P108</f>
        <v>320725</v>
      </c>
      <c r="Q110" s="35"/>
      <c r="R110" s="35"/>
      <c r="S110" s="36"/>
      <c r="T110" s="36"/>
      <c r="U110" s="36"/>
      <c r="V110" s="36"/>
      <c r="W110" s="36"/>
      <c r="X110" s="4"/>
      <c r="Y110" s="36"/>
      <c r="Z110" s="36"/>
      <c r="AA110" s="28"/>
      <c r="AB110" s="36"/>
      <c r="AC110" s="36"/>
      <c r="AD110" s="36"/>
      <c r="AE110" s="36"/>
      <c r="AF110" s="36"/>
      <c r="AG110" s="36"/>
      <c r="AH110" s="35"/>
      <c r="AI110" s="35">
        <f>AI23-AI55-AI71-AI96+AI108+AI103</f>
        <v>3562</v>
      </c>
      <c r="AJ110" s="36">
        <f>AJ23-AJ55-AJ71-AJ96+AJ108+AJ103</f>
        <v>-196522</v>
      </c>
      <c r="AK110" s="35"/>
      <c r="AL110" s="25">
        <f t="shared" si="33"/>
        <v>0</v>
      </c>
      <c r="AM110" s="25">
        <f t="shared" si="18"/>
        <v>-577407</v>
      </c>
      <c r="AN110" s="4"/>
      <c r="AO110" s="36">
        <f>AO23-AO55-AO71-AO96+AO108+AO103</f>
        <v>577407</v>
      </c>
      <c r="AP110" s="4"/>
      <c r="AQ110" s="36"/>
      <c r="AR110" s="36">
        <f>AR23-AR55-AR71-AR96+AR108+AR103</f>
        <v>-7600</v>
      </c>
      <c r="AS110" s="36"/>
      <c r="AT110" s="4"/>
      <c r="AV110" s="36">
        <f t="shared" ref="AV110:BB110" si="53">AV23-AV55-AV71-AV96+AV108+AV103</f>
        <v>-179765</v>
      </c>
      <c r="AW110" s="36">
        <f t="shared" si="53"/>
        <v>6852</v>
      </c>
      <c r="AX110" s="36">
        <f t="shared" si="53"/>
        <v>57686</v>
      </c>
      <c r="AY110" s="36">
        <f t="shared" si="53"/>
        <v>-118715</v>
      </c>
      <c r="AZ110" s="35">
        <f t="shared" si="53"/>
        <v>-87547</v>
      </c>
      <c r="BA110" s="35">
        <f t="shared" si="53"/>
        <v>148318</v>
      </c>
      <c r="BB110" s="36">
        <f t="shared" si="53"/>
        <v>240738</v>
      </c>
      <c r="BC110" s="36">
        <f>BC23+BC55+BC71+BC96+BC108+BC103</f>
        <v>-79686</v>
      </c>
      <c r="BD110" s="37">
        <f>BD23-BD55-BD71-BD96+BD108+BD103+1</f>
        <v>-172202</v>
      </c>
      <c r="BE110" s="35">
        <f>BE23-BE55-BE71-BE96+BE108+BE103</f>
        <v>18664</v>
      </c>
      <c r="BF110" s="37">
        <f>BF23-BF55-BF71-BF96+BF108+BF103-BF101</f>
        <v>22464.520000000011</v>
      </c>
      <c r="BG110" s="35">
        <f>BG23-BG55-BG71-BG96+BG108+BG103</f>
        <v>26366</v>
      </c>
      <c r="BH110" s="35"/>
      <c r="BN110" s="36">
        <f>BN23-BN55-BN71-BN96+BN108+BN103</f>
        <v>-751265</v>
      </c>
    </row>
    <row r="111" spans="1:79" ht="11.25" x14ac:dyDescent="0.15">
      <c r="B111" s="5"/>
      <c r="C111" s="5"/>
      <c r="D111" s="43"/>
      <c r="E111" s="43"/>
      <c r="F111" s="43"/>
      <c r="G111" s="43"/>
      <c r="H111" s="43"/>
      <c r="I111" s="43"/>
      <c r="J111" s="43"/>
      <c r="K111" s="43">
        <v>2500</v>
      </c>
      <c r="L111" s="25">
        <f t="shared" si="29"/>
        <v>2500</v>
      </c>
      <c r="M111" s="43"/>
      <c r="N111" s="35"/>
      <c r="O111" s="35"/>
      <c r="P111" s="43"/>
      <c r="Q111" s="35"/>
      <c r="R111" s="35"/>
      <c r="S111" s="35"/>
      <c r="T111" s="35"/>
      <c r="U111" s="35"/>
      <c r="V111" s="35"/>
      <c r="W111" s="35"/>
      <c r="X111" s="4"/>
      <c r="Y111" s="35"/>
      <c r="Z111" s="35"/>
      <c r="AA111" s="28"/>
      <c r="AB111" s="35"/>
      <c r="AC111" s="36"/>
      <c r="AD111" s="36"/>
      <c r="AE111" s="36"/>
      <c r="AF111" s="36"/>
      <c r="AG111" s="35"/>
      <c r="AH111" s="35"/>
      <c r="AI111" s="35"/>
      <c r="AJ111" s="35"/>
      <c r="AK111" s="35"/>
      <c r="AL111" s="25"/>
      <c r="AM111" s="25"/>
      <c r="AN111" s="4"/>
      <c r="AO111" s="35"/>
      <c r="AP111" s="4"/>
      <c r="AQ111" s="35"/>
      <c r="AR111" s="35"/>
      <c r="AS111" s="35"/>
      <c r="AT111" s="4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35"/>
      <c r="BN111" s="35"/>
    </row>
    <row r="112" spans="1:79" ht="11.25" x14ac:dyDescent="0.15">
      <c r="B112" s="5" t="s">
        <v>166</v>
      </c>
      <c r="C112" s="5"/>
      <c r="D112" s="3">
        <v>-100000</v>
      </c>
      <c r="E112" s="3">
        <v>-100000</v>
      </c>
      <c r="F112" s="3">
        <v>-100000</v>
      </c>
      <c r="G112" s="3">
        <v>-100000</v>
      </c>
      <c r="H112" s="3">
        <v>-100000</v>
      </c>
      <c r="I112" s="3">
        <v>-100000</v>
      </c>
      <c r="J112" s="3">
        <v>-100000</v>
      </c>
      <c r="K112" s="3">
        <v>-7158</v>
      </c>
      <c r="L112" s="25">
        <f t="shared" si="29"/>
        <v>-7158</v>
      </c>
      <c r="M112" s="3"/>
      <c r="N112" s="35"/>
      <c r="O112" s="35"/>
      <c r="P112" s="3"/>
      <c r="W112" s="35"/>
      <c r="X112" s="4"/>
      <c r="Z112" s="4"/>
      <c r="AA112" s="4"/>
      <c r="AC112" s="36"/>
      <c r="AD112" s="36"/>
      <c r="AE112" s="36"/>
      <c r="AF112" s="36"/>
      <c r="AH112" s="35"/>
      <c r="AM112" s="4"/>
      <c r="AN112" s="4"/>
      <c r="AP112" s="4"/>
      <c r="AT112" s="4"/>
      <c r="AU112" s="35"/>
      <c r="AV112" s="35"/>
      <c r="AW112" s="35"/>
      <c r="AX112" s="35"/>
      <c r="AY112" s="35"/>
      <c r="AZ112" s="35"/>
      <c r="BA112" s="35"/>
      <c r="BB112" s="35"/>
      <c r="BC112" s="35"/>
      <c r="BD112" s="25"/>
      <c r="BF112" s="35"/>
    </row>
    <row r="113" spans="1:79" ht="11.25" x14ac:dyDescent="0.15">
      <c r="B113" s="44" t="s">
        <v>104</v>
      </c>
      <c r="C113" s="44"/>
      <c r="D113" s="34">
        <v>0</v>
      </c>
      <c r="E113" s="34">
        <v>0</v>
      </c>
      <c r="F113" s="34">
        <v>0</v>
      </c>
      <c r="G113" s="34">
        <v>0</v>
      </c>
      <c r="H113" s="34">
        <v>0</v>
      </c>
      <c r="I113" s="34">
        <v>0</v>
      </c>
      <c r="J113" s="34">
        <v>0</v>
      </c>
      <c r="K113" s="34">
        <v>0</v>
      </c>
      <c r="L113" s="25">
        <f t="shared" si="29"/>
        <v>0</v>
      </c>
      <c r="M113" s="34">
        <v>0</v>
      </c>
      <c r="N113" s="35"/>
      <c r="O113" s="35"/>
      <c r="P113" s="34">
        <v>0</v>
      </c>
      <c r="Q113" s="35"/>
      <c r="R113" s="35"/>
      <c r="S113" s="35"/>
      <c r="T113" s="35"/>
      <c r="U113" s="35"/>
      <c r="W113" s="35"/>
      <c r="X113" s="4"/>
      <c r="Y113" s="25"/>
      <c r="Z113" s="4"/>
      <c r="AA113" s="4"/>
      <c r="AC113" s="36"/>
      <c r="AD113" s="36"/>
      <c r="AE113" s="36"/>
      <c r="AF113" s="36"/>
      <c r="AH113" s="25"/>
      <c r="AM113" s="4"/>
      <c r="AN113" s="4"/>
      <c r="AP113" s="4"/>
      <c r="AT113" s="4"/>
      <c r="AV113" s="25"/>
      <c r="AW113" s="25"/>
      <c r="AX113" s="25"/>
      <c r="AY113" s="25"/>
      <c r="AZ113" s="25"/>
      <c r="BA113" s="25"/>
      <c r="BB113" s="25"/>
      <c r="BC113" s="25"/>
      <c r="BD113" s="25"/>
      <c r="BF113" s="35"/>
    </row>
    <row r="114" spans="1:79" ht="11.25" x14ac:dyDescent="0.15">
      <c r="B114" s="44" t="s">
        <v>105</v>
      </c>
      <c r="C114" s="44"/>
      <c r="D114" s="34">
        <v>0</v>
      </c>
      <c r="E114" s="34">
        <v>0</v>
      </c>
      <c r="F114" s="34">
        <v>0</v>
      </c>
      <c r="G114" s="34">
        <v>0</v>
      </c>
      <c r="H114" s="34">
        <v>0</v>
      </c>
      <c r="I114" s="34">
        <v>0</v>
      </c>
      <c r="J114" s="34">
        <v>0</v>
      </c>
      <c r="K114" s="34">
        <v>0</v>
      </c>
      <c r="L114" s="25">
        <f t="shared" si="29"/>
        <v>0</v>
      </c>
      <c r="M114" s="34">
        <v>0</v>
      </c>
      <c r="N114" s="35"/>
      <c r="O114" s="35"/>
      <c r="P114" s="34">
        <v>0</v>
      </c>
      <c r="Q114" s="35"/>
      <c r="R114" s="35"/>
      <c r="S114" s="35"/>
      <c r="T114" s="35"/>
      <c r="U114" s="35"/>
      <c r="W114" s="35"/>
      <c r="X114" s="4"/>
      <c r="Y114" s="25"/>
      <c r="Z114" s="4"/>
      <c r="AA114" s="4"/>
      <c r="AC114" s="36"/>
      <c r="AD114" s="36"/>
      <c r="AE114" s="36"/>
      <c r="AF114" s="36"/>
      <c r="AH114" s="25"/>
      <c r="AM114" s="4"/>
      <c r="AN114" s="4"/>
      <c r="AP114" s="4"/>
      <c r="AT114" s="4"/>
      <c r="AV114" s="25"/>
      <c r="AW114" s="25"/>
      <c r="AX114" s="25"/>
      <c r="AY114" s="25"/>
      <c r="AZ114" s="25"/>
      <c r="BA114" s="25"/>
      <c r="BB114" s="25"/>
      <c r="BC114" s="25"/>
      <c r="BD114" s="25"/>
      <c r="BF114" s="35"/>
      <c r="CA114" s="4" t="s">
        <v>141</v>
      </c>
    </row>
    <row r="115" spans="1:79" ht="11.25" x14ac:dyDescent="0.15">
      <c r="B115" s="5" t="s">
        <v>106</v>
      </c>
      <c r="C115" s="5"/>
      <c r="D115" s="3">
        <v>0</v>
      </c>
      <c r="E115" s="3">
        <v>0</v>
      </c>
      <c r="F115" s="3">
        <v>0</v>
      </c>
      <c r="G115" s="3">
        <v>0</v>
      </c>
      <c r="H115" s="3">
        <v>0</v>
      </c>
      <c r="I115" s="3">
        <v>0</v>
      </c>
      <c r="J115" s="3">
        <v>0</v>
      </c>
      <c r="K115" s="3">
        <v>0</v>
      </c>
      <c r="L115" s="25">
        <f t="shared" si="29"/>
        <v>0</v>
      </c>
      <c r="M115" s="3">
        <v>0</v>
      </c>
      <c r="N115" s="35"/>
      <c r="O115" s="35"/>
      <c r="P115" s="3">
        <v>0</v>
      </c>
      <c r="Q115" s="35"/>
      <c r="R115" s="35"/>
      <c r="S115" s="35"/>
      <c r="T115" s="35"/>
      <c r="U115" s="35"/>
      <c r="W115" s="35"/>
      <c r="X115" s="4"/>
      <c r="Z115" s="4"/>
      <c r="AA115" s="4"/>
      <c r="AC115" s="36"/>
      <c r="AD115" s="36"/>
      <c r="AE115" s="36"/>
      <c r="AF115" s="36"/>
      <c r="AM115" s="4"/>
      <c r="AN115" s="4"/>
      <c r="AP115" s="4"/>
      <c r="AT115" s="4"/>
      <c r="BD115" s="25"/>
      <c r="BF115" s="25"/>
    </row>
    <row r="116" spans="1:79" ht="11.25" x14ac:dyDescent="0.15">
      <c r="B116" s="5"/>
      <c r="C116" s="5"/>
      <c r="D116" s="43">
        <f t="shared" ref="D116" si="54">SUM(D110:D115)</f>
        <v>-212282</v>
      </c>
      <c r="E116" s="43">
        <f t="shared" ref="E116" si="55">SUM(E110:E115)</f>
        <v>-112282</v>
      </c>
      <c r="F116" s="43">
        <f t="shared" ref="F116:K116" si="56">SUM(F110:F115)</f>
        <v>-10767</v>
      </c>
      <c r="G116" s="43">
        <f t="shared" si="56"/>
        <v>-24270</v>
      </c>
      <c r="H116" s="43">
        <f t="shared" si="56"/>
        <v>-209301</v>
      </c>
      <c r="I116" s="43">
        <f t="shared" si="56"/>
        <v>-128576</v>
      </c>
      <c r="J116" s="43">
        <f t="shared" ref="J116" si="57">SUM(J110:J115)</f>
        <v>-122676</v>
      </c>
      <c r="K116" s="43">
        <f t="shared" si="56"/>
        <v>127817</v>
      </c>
      <c r="L116" s="25">
        <f t="shared" si="29"/>
        <v>-228406</v>
      </c>
      <c r="M116" s="43">
        <f t="shared" ref="M116" si="58">SUM(M110:M115)</f>
        <v>356223</v>
      </c>
      <c r="N116" s="35"/>
      <c r="O116" s="35"/>
      <c r="P116" s="43">
        <f t="shared" ref="P116" si="59">SUM(P110:P115)</f>
        <v>320725</v>
      </c>
      <c r="Q116" s="35"/>
      <c r="R116" s="35"/>
      <c r="S116" s="35"/>
      <c r="T116" s="35"/>
      <c r="U116" s="35"/>
      <c r="W116" s="35"/>
      <c r="X116" s="4"/>
      <c r="Z116" s="4"/>
      <c r="AA116" s="4"/>
      <c r="AC116" s="36"/>
      <c r="AD116" s="36"/>
      <c r="AE116" s="36"/>
      <c r="AF116" s="36"/>
      <c r="AM116" s="4"/>
      <c r="AN116" s="4"/>
      <c r="AO116" s="25"/>
      <c r="AP116" s="4"/>
      <c r="AT116" s="4"/>
      <c r="BD116" s="25"/>
      <c r="BF116" s="25"/>
    </row>
    <row r="117" spans="1:79" ht="11.25" x14ac:dyDescent="0.15">
      <c r="D117" s="3"/>
      <c r="E117" s="3"/>
      <c r="F117" s="3"/>
      <c r="G117" s="3"/>
      <c r="H117" s="3"/>
      <c r="I117" s="3"/>
      <c r="J117" s="3"/>
      <c r="K117" s="3"/>
      <c r="L117" s="5"/>
      <c r="M117" s="3"/>
      <c r="N117" s="35"/>
      <c r="O117" s="35"/>
      <c r="P117" s="3"/>
      <c r="Q117" s="35"/>
      <c r="R117" s="35"/>
      <c r="S117" s="35"/>
      <c r="T117" s="35"/>
      <c r="U117" s="35"/>
      <c r="W117" s="35"/>
      <c r="X117" s="4"/>
      <c r="Y117" s="25"/>
      <c r="Z117" s="4"/>
      <c r="AA117" s="4"/>
      <c r="AC117" s="36"/>
      <c r="AD117" s="36"/>
      <c r="AE117" s="36"/>
      <c r="AF117" s="36"/>
      <c r="AM117" s="4"/>
      <c r="AN117" s="4"/>
      <c r="AP117" s="4"/>
      <c r="AT117" s="4"/>
      <c r="BD117" s="25"/>
      <c r="BF117" s="25"/>
      <c r="BG117" s="25"/>
      <c r="BH117" s="25"/>
    </row>
    <row r="118" spans="1:79" ht="11.25" hidden="1" x14ac:dyDescent="0.15">
      <c r="A118" s="4" t="s">
        <v>75</v>
      </c>
      <c r="B118" s="5"/>
      <c r="C118" s="5"/>
      <c r="D118" s="3"/>
      <c r="E118" s="3"/>
      <c r="F118" s="3"/>
      <c r="G118" s="3"/>
      <c r="H118" s="3"/>
      <c r="I118" s="3"/>
      <c r="J118" s="3"/>
      <c r="K118" s="3"/>
      <c r="L118" s="5"/>
      <c r="M118" s="3"/>
      <c r="P118" s="3"/>
      <c r="X118" s="4"/>
      <c r="Z118" s="4"/>
      <c r="AA118" s="4"/>
      <c r="AM118" s="4"/>
      <c r="AN118" s="4"/>
      <c r="AP118" s="4"/>
      <c r="AT118" s="4"/>
      <c r="BD118" s="25"/>
    </row>
    <row r="119" spans="1:79" ht="11.25" hidden="1" x14ac:dyDescent="0.15">
      <c r="B119" s="4" t="str">
        <f>B54</f>
        <v>afskrivninger</v>
      </c>
      <c r="D119" s="26">
        <f t="shared" ref="D119" si="60">SUM(D47:D54)</f>
        <v>206087</v>
      </c>
      <c r="E119" s="26">
        <f t="shared" ref="E119:I119" si="61">SUM(E47:E54)</f>
        <v>206087</v>
      </c>
      <c r="F119" s="26">
        <f t="shared" si="61"/>
        <v>193087</v>
      </c>
      <c r="G119" s="26">
        <f t="shared" si="61"/>
        <v>193087</v>
      </c>
      <c r="H119" s="26">
        <f t="shared" si="61"/>
        <v>209170</v>
      </c>
      <c r="I119" s="26">
        <f t="shared" si="61"/>
        <v>209170</v>
      </c>
      <c r="J119" s="26">
        <f t="shared" ref="J119" si="62">SUM(J47:J54)</f>
        <v>209170</v>
      </c>
      <c r="K119" s="26">
        <v>194062</v>
      </c>
      <c r="L119" s="25"/>
      <c r="M119" s="26">
        <f>M54</f>
        <v>196173</v>
      </c>
      <c r="N119" s="25"/>
      <c r="O119" s="25"/>
      <c r="P119" s="26">
        <f>P54</f>
        <v>194062</v>
      </c>
      <c r="Q119" s="25"/>
      <c r="U119" s="25"/>
      <c r="X119" s="4"/>
      <c r="Z119" s="4"/>
      <c r="AA119" s="4"/>
      <c r="AM119" s="4"/>
      <c r="AN119" s="4"/>
      <c r="AP119" s="4"/>
      <c r="AT119" s="4"/>
      <c r="BD119" s="25"/>
    </row>
    <row r="120" spans="1:79" ht="11.25" hidden="1" x14ac:dyDescent="0.15">
      <c r="B120" s="4" t="str">
        <f>B68</f>
        <v>Afskrivninger</v>
      </c>
      <c r="C120" s="69"/>
      <c r="D120" s="68">
        <f t="shared" ref="D120" si="63">D68</f>
        <v>96431</v>
      </c>
      <c r="E120" s="68">
        <f t="shared" ref="E120:K120" si="64">E68</f>
        <v>96431</v>
      </c>
      <c r="F120" s="26">
        <f>SUM(F78:F80)</f>
        <v>81500</v>
      </c>
      <c r="G120" s="26">
        <f>SUM(G68:G70)</f>
        <v>91723</v>
      </c>
      <c r="H120" s="26">
        <f t="shared" si="64"/>
        <v>96431</v>
      </c>
      <c r="I120" s="26">
        <f t="shared" si="64"/>
        <v>96431</v>
      </c>
      <c r="J120" s="26">
        <f t="shared" ref="J120" si="65">J68</f>
        <v>96431</v>
      </c>
      <c r="K120" s="26">
        <f t="shared" si="64"/>
        <v>96431</v>
      </c>
      <c r="L120" s="25"/>
      <c r="M120" s="26">
        <f>M68</f>
        <v>96431</v>
      </c>
      <c r="N120" s="25"/>
      <c r="O120" s="25"/>
      <c r="P120" s="26">
        <f>P68</f>
        <v>96431</v>
      </c>
      <c r="Q120" s="25"/>
      <c r="U120" s="25"/>
      <c r="X120" s="4"/>
      <c r="Z120" s="4"/>
      <c r="AA120" s="4"/>
      <c r="AM120" s="4"/>
      <c r="AN120" s="4"/>
      <c r="AP120" s="4"/>
      <c r="AT120" s="4"/>
      <c r="BD120" s="25"/>
    </row>
    <row r="121" spans="1:79" ht="11.25" x14ac:dyDescent="0.15">
      <c r="D121" s="3"/>
      <c r="E121" s="3"/>
      <c r="F121" s="3"/>
      <c r="G121" s="3"/>
      <c r="H121" s="3"/>
      <c r="I121" s="3"/>
      <c r="J121" s="3"/>
      <c r="K121" s="3"/>
      <c r="M121" s="3"/>
      <c r="P121" s="3"/>
      <c r="X121" s="4"/>
      <c r="Z121" s="4"/>
      <c r="AA121" s="4"/>
      <c r="AM121" s="4"/>
      <c r="AN121" s="4"/>
      <c r="AP121" s="4"/>
      <c r="AT121" s="4"/>
      <c r="BD121" s="25"/>
    </row>
    <row r="122" spans="1:79" ht="11.25" hidden="1" x14ac:dyDescent="0.15">
      <c r="B122" s="5" t="s">
        <v>107</v>
      </c>
      <c r="C122" s="5"/>
      <c r="D122" s="34">
        <f t="shared" ref="D122" si="66">SUM(D119:D121)</f>
        <v>302518</v>
      </c>
      <c r="E122" s="34">
        <f t="shared" ref="E122" si="67">SUM(E119:E121)</f>
        <v>302518</v>
      </c>
      <c r="F122" s="34">
        <f t="shared" ref="F122:K122" si="68">SUM(F119:F121)</f>
        <v>274587</v>
      </c>
      <c r="G122" s="34">
        <f t="shared" si="68"/>
        <v>284810</v>
      </c>
      <c r="H122" s="34">
        <f t="shared" si="68"/>
        <v>305601</v>
      </c>
      <c r="I122" s="34">
        <f t="shared" si="68"/>
        <v>305601</v>
      </c>
      <c r="J122" s="34">
        <f t="shared" ref="J122" si="69">SUM(J119:J121)</f>
        <v>305601</v>
      </c>
      <c r="K122" s="34">
        <f t="shared" si="68"/>
        <v>290493</v>
      </c>
      <c r="L122" s="45"/>
      <c r="M122" s="34">
        <f t="shared" ref="M122" si="70">SUM(M119:M121)</f>
        <v>292604</v>
      </c>
      <c r="N122" s="45"/>
      <c r="O122" s="45"/>
      <c r="P122" s="34">
        <f t="shared" ref="P122" si="71">SUM(P119:P121)</f>
        <v>290493</v>
      </c>
      <c r="Q122" s="45"/>
      <c r="U122" s="35"/>
      <c r="X122" s="4"/>
      <c r="Z122" s="4"/>
      <c r="AA122" s="4"/>
      <c r="AM122" s="4"/>
      <c r="AN122" s="4"/>
      <c r="AP122" s="4"/>
      <c r="AT122" s="4"/>
      <c r="BD122" s="25"/>
    </row>
    <row r="123" spans="1:79" ht="11.25" hidden="1" x14ac:dyDescent="0.15">
      <c r="A123" s="5" t="s">
        <v>108</v>
      </c>
      <c r="K123" s="3"/>
      <c r="P123" s="3"/>
      <c r="X123" s="4"/>
      <c r="Z123" s="4"/>
      <c r="AA123" s="4"/>
      <c r="AM123" s="4"/>
      <c r="AN123" s="4"/>
      <c r="AP123" s="4"/>
      <c r="AT123" s="4"/>
      <c r="BD123" s="25"/>
    </row>
    <row r="124" spans="1:79" ht="11.25" hidden="1" x14ac:dyDescent="0.15">
      <c r="A124" s="4" t="s">
        <v>109</v>
      </c>
      <c r="B124" s="33"/>
      <c r="C124" s="33"/>
      <c r="D124" s="33">
        <v>1125</v>
      </c>
      <c r="E124" s="3">
        <v>925</v>
      </c>
      <c r="F124" s="3">
        <v>1125</v>
      </c>
      <c r="G124" s="3">
        <v>1125</v>
      </c>
      <c r="H124" s="3">
        <v>925</v>
      </c>
      <c r="I124" s="3">
        <v>925</v>
      </c>
      <c r="J124" s="3">
        <v>925</v>
      </c>
      <c r="K124" s="3">
        <v>925</v>
      </c>
      <c r="L124" s="25"/>
      <c r="M124" s="25"/>
      <c r="P124" s="3">
        <v>925</v>
      </c>
      <c r="X124" s="4"/>
      <c r="Z124" s="4"/>
      <c r="AA124" s="4"/>
      <c r="AM124" s="4"/>
      <c r="AN124" s="4"/>
      <c r="AP124" s="4"/>
      <c r="AT124" s="4"/>
      <c r="BD124" s="25"/>
    </row>
    <row r="125" spans="1:79" ht="11.25" hidden="1" x14ac:dyDescent="0.15">
      <c r="A125" s="4" t="s">
        <v>110</v>
      </c>
      <c r="B125" s="5"/>
      <c r="C125" s="5"/>
      <c r="D125" s="5">
        <v>14.75</v>
      </c>
      <c r="E125" s="46">
        <v>10.75</v>
      </c>
      <c r="F125" s="46">
        <v>14.75</v>
      </c>
      <c r="G125" s="46">
        <v>14.75</v>
      </c>
      <c r="H125" s="46">
        <v>10.75</v>
      </c>
      <c r="I125" s="46">
        <v>10.75</v>
      </c>
      <c r="J125" s="46">
        <v>10.75</v>
      </c>
      <c r="K125" s="46">
        <v>10.75</v>
      </c>
      <c r="L125" s="47"/>
      <c r="M125" s="47"/>
      <c r="N125" s="47"/>
      <c r="O125" s="47"/>
      <c r="P125" s="46">
        <v>10.75</v>
      </c>
      <c r="Q125" s="47"/>
      <c r="X125" s="4"/>
      <c r="Z125" s="4"/>
      <c r="AA125" s="4"/>
      <c r="AM125" s="4"/>
      <c r="AN125" s="4"/>
      <c r="AP125" s="4"/>
      <c r="AT125" s="4"/>
      <c r="BD125" s="35"/>
    </row>
    <row r="126" spans="1:79" ht="11.25" hidden="1" x14ac:dyDescent="0.15">
      <c r="A126" s="4" t="s">
        <v>111</v>
      </c>
      <c r="B126" s="5"/>
      <c r="C126" s="5"/>
      <c r="D126" s="5" t="s">
        <v>141</v>
      </c>
      <c r="E126" s="47">
        <v>200</v>
      </c>
      <c r="F126" s="47">
        <v>200</v>
      </c>
      <c r="G126" s="47">
        <v>200</v>
      </c>
      <c r="H126" s="47">
        <v>200</v>
      </c>
      <c r="I126" s="47">
        <v>200</v>
      </c>
      <c r="J126" s="47">
        <v>200</v>
      </c>
      <c r="K126" s="47">
        <v>200</v>
      </c>
      <c r="L126" s="47"/>
      <c r="M126" s="47"/>
      <c r="N126" s="47"/>
      <c r="O126" s="47"/>
      <c r="P126" s="46"/>
      <c r="Q126" s="47"/>
      <c r="X126" s="4"/>
      <c r="Z126" s="4"/>
      <c r="AA126" s="4"/>
      <c r="AM126" s="4"/>
      <c r="AN126" s="4"/>
      <c r="AP126" s="4"/>
      <c r="AT126" s="4"/>
      <c r="BD126" s="35"/>
    </row>
    <row r="127" spans="1:79" ht="11.25" hidden="1" x14ac:dyDescent="0.15">
      <c r="A127" s="4" t="s">
        <v>112</v>
      </c>
      <c r="B127" s="5"/>
      <c r="C127" s="5"/>
      <c r="D127" s="5" t="s">
        <v>141</v>
      </c>
      <c r="E127" s="47">
        <v>4</v>
      </c>
      <c r="F127" s="47">
        <v>3</v>
      </c>
      <c r="G127" s="47">
        <v>3</v>
      </c>
      <c r="H127" s="47">
        <v>4</v>
      </c>
      <c r="I127" s="47">
        <v>4</v>
      </c>
      <c r="J127" s="47">
        <v>4</v>
      </c>
      <c r="K127" s="47">
        <v>4</v>
      </c>
      <c r="L127" s="47"/>
      <c r="M127" s="47"/>
      <c r="N127" s="47"/>
      <c r="O127" s="47"/>
      <c r="P127" s="46"/>
      <c r="Q127" s="47"/>
      <c r="X127" s="4"/>
      <c r="Z127" s="4"/>
      <c r="AA127" s="4"/>
      <c r="AM127" s="4"/>
      <c r="AN127" s="4"/>
      <c r="AP127" s="4"/>
      <c r="AT127" s="4"/>
      <c r="BD127" s="35"/>
    </row>
    <row r="128" spans="1:79" ht="11.25" x14ac:dyDescent="0.15">
      <c r="B128" s="5"/>
      <c r="C128" s="5"/>
      <c r="D128" s="5"/>
      <c r="E128" s="47"/>
      <c r="F128" s="47"/>
      <c r="G128" s="47"/>
      <c r="H128" s="47"/>
      <c r="I128" s="47"/>
      <c r="J128" s="47"/>
      <c r="K128" s="46"/>
      <c r="L128" s="47"/>
      <c r="M128" s="47"/>
      <c r="N128" s="47"/>
      <c r="O128" s="47"/>
      <c r="P128" s="46"/>
      <c r="Q128" s="47"/>
      <c r="X128" s="4"/>
      <c r="Z128" s="4"/>
      <c r="AA128" s="4"/>
      <c r="AM128" s="4"/>
      <c r="AN128" s="4"/>
      <c r="AP128" s="4"/>
      <c r="AT128" s="4"/>
      <c r="BD128" s="35"/>
    </row>
    <row r="129" spans="1:56" ht="11.25" x14ac:dyDescent="0.15">
      <c r="E129" s="25"/>
      <c r="F129" s="25"/>
      <c r="G129" s="25"/>
      <c r="H129" s="25"/>
      <c r="I129" s="25"/>
      <c r="J129" s="25"/>
      <c r="K129" s="3"/>
      <c r="L129" s="25"/>
      <c r="M129" s="25"/>
      <c r="P129" s="3"/>
      <c r="X129" s="4"/>
      <c r="Z129" s="4"/>
      <c r="AA129" s="4"/>
      <c r="AM129" s="4"/>
      <c r="AN129" s="4"/>
      <c r="AP129" s="4"/>
      <c r="AT129" s="4"/>
      <c r="BD129" s="35"/>
    </row>
    <row r="130" spans="1:56" ht="11.25" hidden="1" x14ac:dyDescent="0.15">
      <c r="A130" s="4" t="s">
        <v>113</v>
      </c>
      <c r="B130" s="4" t="s">
        <v>114</v>
      </c>
      <c r="E130" s="48">
        <f>(E8+E9+E10)/(E8+E9+E10+E12+E14)*100</f>
        <v>64.533581070003819</v>
      </c>
      <c r="F130" s="48">
        <v>400</v>
      </c>
      <c r="G130" s="48">
        <v>400</v>
      </c>
      <c r="H130" s="48" t="e">
        <f>(H8+H9+H10)/(H8+H9+H10+H12+H14)*100</f>
        <v>#VALUE!</v>
      </c>
      <c r="I130" s="48">
        <f>(I8+I9+I10)/(I8+I9+I10+I12+I14)*100</f>
        <v>64.533581070003819</v>
      </c>
      <c r="J130" s="25"/>
      <c r="K130" s="48">
        <f>K8/(K12+K8)*100</f>
        <v>64.441719016278881</v>
      </c>
      <c r="L130" s="49"/>
      <c r="M130" s="49"/>
      <c r="N130" s="49"/>
      <c r="O130" s="49"/>
      <c r="P130" s="48">
        <f>P8/(P12+P8)*100</f>
        <v>63.522688933873141</v>
      </c>
      <c r="Q130" s="49"/>
      <c r="R130" s="49"/>
      <c r="S130" s="49"/>
      <c r="T130" s="49"/>
      <c r="U130" s="49"/>
      <c r="V130" s="49"/>
      <c r="W130" s="49"/>
      <c r="X130" s="4"/>
      <c r="Y130" s="49"/>
      <c r="Z130" s="4"/>
      <c r="AA130" s="4"/>
      <c r="AM130" s="4"/>
      <c r="AN130" s="4"/>
      <c r="AP130" s="4"/>
      <c r="AT130" s="4"/>
      <c r="BD130" s="35"/>
    </row>
    <row r="131" spans="1:56" ht="11.25" hidden="1" x14ac:dyDescent="0.15">
      <c r="B131" s="4" t="s">
        <v>115</v>
      </c>
      <c r="E131" s="48">
        <f>(E12+E14)/(E8+E9+E10+E12+E14)*100</f>
        <v>35.466418929996173</v>
      </c>
      <c r="F131" s="48" t="e">
        <f>(F12+F14)/(F8+F9+#REF!+F12+F14)*100</f>
        <v>#REF!</v>
      </c>
      <c r="G131" s="48">
        <f>(G12+G14)/(G8+G9+F10+G12+G14)*100</f>
        <v>35.17836919592299</v>
      </c>
      <c r="H131" s="48" t="e">
        <f>(H12+H14)/(H8+H9+H10+H12+H14)*100</f>
        <v>#VALUE!</v>
      </c>
      <c r="I131" s="48">
        <f>(I12+I14)/(I8+I9+I10+I12+I14)*100</f>
        <v>35.466418929996173</v>
      </c>
      <c r="J131" s="25"/>
      <c r="K131" s="48">
        <f>K12/(K8+K12)*100</f>
        <v>35.558280983721112</v>
      </c>
      <c r="L131" s="49"/>
      <c r="M131" s="49"/>
      <c r="N131" s="49"/>
      <c r="O131" s="49"/>
      <c r="P131" s="48">
        <f>P12/(P8+P12)*100</f>
        <v>36.477311066126852</v>
      </c>
      <c r="Q131" s="49"/>
      <c r="R131" s="49"/>
      <c r="S131" s="49"/>
      <c r="T131" s="49"/>
      <c r="U131" s="49"/>
      <c r="V131" s="49"/>
      <c r="W131" s="49"/>
      <c r="X131" s="4"/>
      <c r="Y131" s="49"/>
      <c r="Z131" s="4"/>
      <c r="AA131" s="4"/>
      <c r="AM131" s="4"/>
      <c r="AN131" s="4"/>
      <c r="AP131" s="4"/>
      <c r="AT131" s="4"/>
      <c r="BD131" s="25"/>
    </row>
    <row r="132" spans="1:56" ht="11.25" x14ac:dyDescent="0.15">
      <c r="E132" s="49"/>
      <c r="F132" s="49"/>
      <c r="G132" s="49"/>
      <c r="H132" s="49"/>
      <c r="I132" s="49"/>
      <c r="J132" s="25"/>
      <c r="K132" s="48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"/>
      <c r="Y132" s="49"/>
      <c r="Z132" s="4"/>
      <c r="AA132" s="4"/>
      <c r="AM132" s="4"/>
      <c r="AN132" s="4"/>
      <c r="AP132" s="4"/>
      <c r="AT132" s="4"/>
      <c r="BD132" s="25"/>
    </row>
    <row r="133" spans="1:56" ht="11.25" x14ac:dyDescent="0.15">
      <c r="E133" s="49"/>
      <c r="F133" s="49"/>
      <c r="G133" s="49"/>
      <c r="H133" s="49"/>
      <c r="I133" s="49"/>
      <c r="J133" s="25"/>
      <c r="K133" s="48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"/>
      <c r="Y133" s="49"/>
      <c r="Z133" s="4"/>
      <c r="AA133" s="4"/>
      <c r="AM133" s="4"/>
      <c r="AN133" s="4"/>
      <c r="AP133" s="4"/>
      <c r="AT133" s="4"/>
      <c r="BD133" s="25"/>
    </row>
    <row r="134" spans="1:56" ht="11.25" x14ac:dyDescent="0.15">
      <c r="E134" s="49"/>
      <c r="F134" s="49"/>
      <c r="G134" s="49"/>
      <c r="H134" s="49"/>
      <c r="I134" s="49"/>
      <c r="J134" s="25"/>
      <c r="K134" s="48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"/>
      <c r="Y134" s="49"/>
      <c r="Z134" s="4"/>
      <c r="AA134" s="4"/>
      <c r="AM134" s="4"/>
      <c r="AN134" s="4"/>
      <c r="AP134" s="4"/>
      <c r="AT134" s="4"/>
      <c r="BD134" s="25"/>
    </row>
    <row r="135" spans="1:56" ht="11.25" x14ac:dyDescent="0.15">
      <c r="E135" s="49"/>
      <c r="F135" s="49"/>
      <c r="G135" s="49"/>
      <c r="H135" s="49"/>
      <c r="I135" s="49"/>
      <c r="J135" s="25"/>
      <c r="K135" s="48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"/>
      <c r="Y135" s="49"/>
      <c r="Z135" s="4"/>
      <c r="AA135" s="4"/>
      <c r="AM135" s="4"/>
      <c r="AN135" s="4"/>
      <c r="AP135" s="4"/>
      <c r="AT135" s="4"/>
      <c r="BD135" s="25"/>
    </row>
    <row r="136" spans="1:56" ht="11.25" x14ac:dyDescent="0.15">
      <c r="E136" s="49"/>
      <c r="F136" s="49"/>
      <c r="G136" s="49"/>
      <c r="H136" s="49"/>
      <c r="I136" s="49"/>
      <c r="J136" s="25"/>
      <c r="K136" s="48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"/>
      <c r="Y136" s="49"/>
      <c r="Z136" s="4"/>
      <c r="AA136" s="4"/>
      <c r="AM136" s="4"/>
      <c r="AN136" s="4"/>
      <c r="AP136" s="4"/>
      <c r="AT136" s="4"/>
      <c r="BD136" s="25"/>
    </row>
    <row r="137" spans="1:56" ht="11.25" x14ac:dyDescent="0.15">
      <c r="E137" s="49"/>
      <c r="F137" s="49"/>
      <c r="G137" s="49"/>
      <c r="H137" s="49"/>
      <c r="I137" s="49"/>
      <c r="J137" s="25"/>
      <c r="K137" s="48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"/>
      <c r="Y137" s="49"/>
      <c r="Z137" s="4"/>
      <c r="AA137" s="4"/>
      <c r="AM137" s="4"/>
      <c r="AN137" s="4"/>
      <c r="AP137" s="4"/>
      <c r="AT137" s="4"/>
      <c r="BD137" s="25"/>
    </row>
    <row r="138" spans="1:56" ht="11.25" x14ac:dyDescent="0.15">
      <c r="E138" s="49"/>
      <c r="F138" s="49"/>
      <c r="G138" s="49"/>
      <c r="H138" s="49"/>
      <c r="I138" s="49"/>
      <c r="J138" s="25"/>
      <c r="K138" s="48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"/>
      <c r="Y138" s="49"/>
      <c r="Z138" s="4"/>
      <c r="AA138" s="4"/>
      <c r="AM138" s="4"/>
      <c r="AN138" s="4"/>
      <c r="AP138" s="4"/>
      <c r="AT138" s="4"/>
      <c r="BD138" s="25"/>
    </row>
    <row r="139" spans="1:56" ht="11.25" x14ac:dyDescent="0.15">
      <c r="E139" s="49"/>
      <c r="F139" s="49"/>
      <c r="G139" s="49"/>
      <c r="H139" s="49"/>
      <c r="I139" s="49"/>
      <c r="J139" s="25"/>
      <c r="K139" s="48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"/>
      <c r="Y139" s="49"/>
      <c r="Z139" s="4"/>
      <c r="AA139" s="4"/>
      <c r="AM139" s="4"/>
      <c r="AN139" s="4"/>
      <c r="AP139" s="4"/>
      <c r="AT139" s="4"/>
      <c r="BD139" s="25"/>
    </row>
    <row r="140" spans="1:56" ht="11.25" x14ac:dyDescent="0.15">
      <c r="E140" s="49"/>
      <c r="F140" s="49"/>
      <c r="G140" s="49"/>
      <c r="H140" s="49"/>
      <c r="I140" s="49"/>
      <c r="J140" s="25"/>
      <c r="K140" s="48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"/>
      <c r="Y140" s="49"/>
      <c r="Z140" s="4"/>
      <c r="AA140" s="4"/>
      <c r="AM140" s="4"/>
      <c r="AN140" s="4"/>
      <c r="AP140" s="4"/>
      <c r="AT140" s="4"/>
      <c r="BD140" s="25"/>
    </row>
    <row r="141" spans="1:56" ht="11.25" x14ac:dyDescent="0.15">
      <c r="E141" s="49"/>
      <c r="F141" s="49"/>
      <c r="G141" s="49"/>
      <c r="H141" s="49"/>
      <c r="I141" s="49"/>
      <c r="J141" s="25"/>
      <c r="K141" s="48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"/>
      <c r="Y141" s="49"/>
      <c r="Z141" s="4"/>
      <c r="AA141" s="4"/>
      <c r="AM141" s="4"/>
      <c r="AN141" s="4"/>
      <c r="AP141" s="4"/>
      <c r="AT141" s="4"/>
      <c r="BD141" s="25"/>
    </row>
    <row r="142" spans="1:56" ht="11.25" x14ac:dyDescent="0.15">
      <c r="E142" s="49"/>
      <c r="F142" s="49"/>
      <c r="G142" s="49"/>
      <c r="H142" s="49"/>
      <c r="I142" s="49"/>
      <c r="J142" s="25"/>
      <c r="K142" s="48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"/>
      <c r="Y142" s="49"/>
      <c r="Z142" s="4"/>
      <c r="AA142" s="4"/>
      <c r="AM142" s="4"/>
      <c r="AN142" s="4"/>
      <c r="AP142" s="4"/>
      <c r="AT142" s="4"/>
      <c r="BD142" s="25"/>
    </row>
    <row r="143" spans="1:56" ht="11.25" x14ac:dyDescent="0.15">
      <c r="E143" s="49"/>
      <c r="F143" s="49"/>
      <c r="G143" s="49"/>
      <c r="H143" s="49"/>
      <c r="I143" s="49"/>
      <c r="J143" s="25"/>
      <c r="K143" s="48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"/>
      <c r="Y143" s="49"/>
      <c r="Z143" s="4"/>
      <c r="AA143" s="4"/>
      <c r="AM143" s="4"/>
      <c r="AN143" s="4"/>
      <c r="AP143" s="4"/>
      <c r="AT143" s="4"/>
      <c r="BD143" s="25"/>
    </row>
    <row r="144" spans="1:56" ht="11.25" x14ac:dyDescent="0.15">
      <c r="E144" s="49"/>
      <c r="F144" s="49"/>
      <c r="G144" s="49"/>
      <c r="H144" s="49"/>
      <c r="I144" s="49"/>
      <c r="J144" s="25"/>
      <c r="K144" s="48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"/>
      <c r="Y144" s="49"/>
      <c r="Z144" s="4"/>
      <c r="AA144" s="4"/>
      <c r="AM144" s="4"/>
      <c r="AN144" s="4"/>
      <c r="AP144" s="4"/>
      <c r="AT144" s="4"/>
      <c r="BD144" s="25"/>
    </row>
    <row r="145" spans="1:56" ht="12" thickBot="1" x14ac:dyDescent="0.2">
      <c r="E145" s="50"/>
      <c r="F145" s="50"/>
      <c r="G145" s="50"/>
      <c r="H145" s="50"/>
      <c r="I145" s="50"/>
      <c r="J145" s="50"/>
      <c r="K145" s="48"/>
      <c r="L145" s="50"/>
      <c r="M145" s="50"/>
      <c r="P145" s="4"/>
      <c r="X145" s="4"/>
      <c r="Z145" s="4"/>
      <c r="AA145" s="4"/>
      <c r="AM145" s="4"/>
      <c r="AN145" s="4"/>
      <c r="AP145" s="4"/>
      <c r="AT145" s="4"/>
      <c r="BD145" s="25"/>
    </row>
    <row r="146" spans="1:56" ht="12" thickTop="1" x14ac:dyDescent="0.15">
      <c r="A146" s="51"/>
      <c r="B146" s="52"/>
      <c r="C146" s="52"/>
      <c r="D146" s="52"/>
      <c r="E146" s="53"/>
      <c r="F146" s="54">
        <v>2023</v>
      </c>
      <c r="G146" s="53"/>
      <c r="H146" s="53"/>
      <c r="I146" s="53" t="s">
        <v>147</v>
      </c>
      <c r="J146" s="52"/>
      <c r="K146" s="55"/>
      <c r="L146" s="50"/>
      <c r="M146" s="50"/>
      <c r="P146" s="5"/>
      <c r="X146" s="4"/>
      <c r="Z146" s="4"/>
      <c r="AA146" s="4"/>
      <c r="AM146" s="4"/>
      <c r="AN146" s="4"/>
      <c r="AP146" s="4"/>
      <c r="AT146" s="4"/>
      <c r="BD146" s="35"/>
    </row>
    <row r="147" spans="1:56" x14ac:dyDescent="0.2">
      <c r="A147" s="32"/>
      <c r="E147" s="50"/>
      <c r="F147" s="56" t="s">
        <v>146</v>
      </c>
      <c r="G147" s="56" t="s">
        <v>110</v>
      </c>
      <c r="H147" s="50"/>
      <c r="I147" s="5" t="s">
        <v>157</v>
      </c>
      <c r="J147" s="56" t="s">
        <v>148</v>
      </c>
      <c r="K147" s="57" t="s">
        <v>149</v>
      </c>
      <c r="L147" s="50"/>
      <c r="M147" s="50"/>
      <c r="X147" s="4"/>
      <c r="AN147" s="4"/>
      <c r="BD147" s="35"/>
    </row>
    <row r="148" spans="1:56" x14ac:dyDescent="0.2">
      <c r="A148" s="32" t="s">
        <v>145</v>
      </c>
      <c r="B148" s="33"/>
      <c r="C148" s="33"/>
      <c r="D148" s="33"/>
      <c r="E148" s="58"/>
      <c r="F148" s="58">
        <v>700</v>
      </c>
      <c r="G148" s="58">
        <v>15</v>
      </c>
      <c r="H148" s="58"/>
      <c r="I148" s="58">
        <f>(F148+(G148*30))/30</f>
        <v>38.333333333333336</v>
      </c>
      <c r="J148" s="58">
        <f>(F148+(G148*50))/50</f>
        <v>29</v>
      </c>
      <c r="K148" s="59">
        <f>(F148+(G148*80))/80</f>
        <v>23.75</v>
      </c>
      <c r="L148" s="58"/>
      <c r="M148" s="58"/>
      <c r="X148" s="4"/>
      <c r="AN148" s="4"/>
      <c r="BD148" s="25"/>
    </row>
    <row r="149" spans="1:56" x14ac:dyDescent="0.2">
      <c r="A149" s="32" t="s">
        <v>150</v>
      </c>
      <c r="F149" s="4">
        <v>550</v>
      </c>
      <c r="G149" s="4">
        <v>8.5</v>
      </c>
      <c r="I149" s="58">
        <f t="shared" ref="I149:I153" si="72">(F149+(G149*30))/30</f>
        <v>26.833333333333332</v>
      </c>
      <c r="J149" s="58">
        <f>(F149+(G149*50))/50</f>
        <v>19.5</v>
      </c>
      <c r="K149" s="59">
        <f>(F149+(G149*80))/80</f>
        <v>15.375</v>
      </c>
      <c r="X149" s="4"/>
      <c r="AN149" s="4"/>
      <c r="BD149" s="35"/>
    </row>
    <row r="150" spans="1:56" x14ac:dyDescent="0.2">
      <c r="A150" s="32"/>
      <c r="I150" s="58">
        <f t="shared" si="72"/>
        <v>0</v>
      </c>
      <c r="J150" s="58"/>
      <c r="K150" s="59"/>
      <c r="X150" s="4"/>
      <c r="AN150" s="4"/>
      <c r="BD150" s="35"/>
    </row>
    <row r="151" spans="1:56" x14ac:dyDescent="0.2">
      <c r="A151" s="32" t="s">
        <v>151</v>
      </c>
      <c r="F151" s="4">
        <v>895</v>
      </c>
      <c r="G151" s="4">
        <v>13.75</v>
      </c>
      <c r="I151" s="58">
        <f t="shared" si="72"/>
        <v>43.583333333333336</v>
      </c>
      <c r="J151" s="58">
        <f>(F151+(G151*50))/50</f>
        <v>31.65</v>
      </c>
      <c r="K151" s="59">
        <f>(F151+(G151*80))/80</f>
        <v>24.9375</v>
      </c>
      <c r="X151" s="4"/>
      <c r="AN151" s="4"/>
      <c r="BD151" s="35"/>
    </row>
    <row r="152" spans="1:56" x14ac:dyDescent="0.2">
      <c r="A152" s="32"/>
      <c r="I152" s="58">
        <f t="shared" si="72"/>
        <v>0</v>
      </c>
      <c r="J152" s="58"/>
      <c r="K152" s="59"/>
      <c r="X152" s="4"/>
      <c r="AN152" s="4"/>
      <c r="BD152" s="35"/>
    </row>
    <row r="153" spans="1:56" ht="15" thickBot="1" x14ac:dyDescent="0.25">
      <c r="A153" s="32" t="s">
        <v>152</v>
      </c>
      <c r="B153" s="60"/>
      <c r="C153" s="60"/>
      <c r="D153" s="60"/>
      <c r="E153" s="60"/>
      <c r="F153" s="60">
        <f>925</f>
        <v>925</v>
      </c>
      <c r="G153" s="60">
        <v>10.75</v>
      </c>
      <c r="H153" s="60"/>
      <c r="I153" s="61">
        <f t="shared" si="72"/>
        <v>41.583333333333336</v>
      </c>
      <c r="J153" s="61">
        <f>(F153+(G153*50))/50</f>
        <v>29.25</v>
      </c>
      <c r="K153" s="62">
        <f>(F153+(G153*80))/80</f>
        <v>22.3125</v>
      </c>
      <c r="X153" s="4"/>
      <c r="AN153" s="4"/>
      <c r="BD153" s="35"/>
    </row>
    <row r="154" spans="1:56" ht="15" thickTop="1" x14ac:dyDescent="0.2">
      <c r="A154" s="32"/>
      <c r="K154" s="48"/>
      <c r="X154" s="4"/>
      <c r="AN154" s="4"/>
      <c r="BD154" s="35"/>
    </row>
    <row r="155" spans="1:56" x14ac:dyDescent="0.2">
      <c r="A155" s="32"/>
      <c r="E155" s="47"/>
      <c r="F155" s="63">
        <v>2024</v>
      </c>
      <c r="G155" s="50"/>
      <c r="H155" s="50"/>
      <c r="I155" s="50" t="s">
        <v>147</v>
      </c>
      <c r="K155" s="64"/>
      <c r="L155" s="47"/>
      <c r="M155" s="47"/>
      <c r="X155" s="4"/>
      <c r="AN155" s="4"/>
      <c r="BD155" s="25"/>
    </row>
    <row r="156" spans="1:56" x14ac:dyDescent="0.2">
      <c r="A156" s="32"/>
      <c r="F156" s="50" t="s">
        <v>146</v>
      </c>
      <c r="G156" s="50" t="s">
        <v>110</v>
      </c>
      <c r="H156" s="50"/>
      <c r="I156" s="5" t="s">
        <v>157</v>
      </c>
      <c r="J156" s="56" t="s">
        <v>148</v>
      </c>
      <c r="K156" s="57" t="s">
        <v>149</v>
      </c>
      <c r="X156" s="4"/>
      <c r="AN156" s="4"/>
      <c r="BD156" s="25"/>
    </row>
    <row r="157" spans="1:56" x14ac:dyDescent="0.2">
      <c r="A157" s="32" t="s">
        <v>152</v>
      </c>
      <c r="F157" s="58">
        <f>F153+I126</f>
        <v>1125</v>
      </c>
      <c r="G157" s="47">
        <f>G153+I127</f>
        <v>14.75</v>
      </c>
      <c r="I157" s="58">
        <f>(F157+(G157*30))/30</f>
        <v>52.25</v>
      </c>
      <c r="J157" s="58">
        <f>(F157+(G157*50))/50</f>
        <v>37.25</v>
      </c>
      <c r="K157" s="59">
        <f>(F157+(G157*80))/80</f>
        <v>28.8125</v>
      </c>
      <c r="X157" s="4"/>
      <c r="AN157" s="4"/>
      <c r="BD157" s="25"/>
    </row>
    <row r="158" spans="1:56" x14ac:dyDescent="0.2">
      <c r="A158" s="32"/>
      <c r="B158" s="5"/>
      <c r="C158" s="5"/>
      <c r="D158" s="5"/>
      <c r="K158" s="48"/>
      <c r="X158" s="4"/>
      <c r="AN158" s="4"/>
      <c r="BD158" s="25"/>
    </row>
    <row r="159" spans="1:56" ht="15" thickBot="1" x14ac:dyDescent="0.25">
      <c r="A159" s="65" t="s">
        <v>158</v>
      </c>
      <c r="B159" s="60"/>
      <c r="C159" s="60"/>
      <c r="D159" s="60"/>
      <c r="E159" s="60"/>
      <c r="F159" s="60"/>
      <c r="G159" s="60"/>
      <c r="H159" s="60"/>
      <c r="I159" s="60">
        <f>(I157*30)-(I153*30)</f>
        <v>320</v>
      </c>
      <c r="J159" s="60">
        <f>(J157*50)-(J153*50)</f>
        <v>400</v>
      </c>
      <c r="K159" s="66">
        <f>(K157*80)-(K153*80)</f>
        <v>520</v>
      </c>
      <c r="X159" s="4"/>
      <c r="AN159" s="4"/>
      <c r="BD159" s="25"/>
    </row>
    <row r="160" spans="1:56" ht="15" thickTop="1" x14ac:dyDescent="0.2">
      <c r="K160" s="49"/>
      <c r="X160" s="4"/>
      <c r="AN160" s="4"/>
      <c r="BD160" s="25"/>
    </row>
    <row r="161" spans="11:56" x14ac:dyDescent="0.2">
      <c r="K161" s="49"/>
      <c r="X161" s="4"/>
      <c r="AN161" s="4"/>
      <c r="BD161" s="25"/>
    </row>
    <row r="162" spans="11:56" x14ac:dyDescent="0.2">
      <c r="K162" s="49"/>
      <c r="X162" s="4"/>
      <c r="AN162" s="4"/>
      <c r="BD162" s="25"/>
    </row>
    <row r="163" spans="11:56" x14ac:dyDescent="0.2">
      <c r="X163" s="4"/>
      <c r="AN163" s="4"/>
      <c r="BD163" s="25"/>
    </row>
    <row r="164" spans="11:56" x14ac:dyDescent="0.2">
      <c r="X164" s="4"/>
      <c r="AN164" s="4"/>
      <c r="BD164" s="25"/>
    </row>
    <row r="165" spans="11:56" x14ac:dyDescent="0.2">
      <c r="X165" s="4"/>
      <c r="AN165" s="4"/>
      <c r="BD165" s="25"/>
    </row>
    <row r="166" spans="11:56" x14ac:dyDescent="0.2">
      <c r="X166" s="4"/>
      <c r="AN166" s="4"/>
      <c r="BD166" s="25"/>
    </row>
    <row r="167" spans="11:56" x14ac:dyDescent="0.2">
      <c r="X167" s="4"/>
      <c r="AN167" s="4"/>
      <c r="BD167" s="25"/>
    </row>
    <row r="168" spans="11:56" x14ac:dyDescent="0.2">
      <c r="X168" s="4"/>
      <c r="AN168" s="4"/>
      <c r="BD168" s="25"/>
    </row>
    <row r="169" spans="11:56" x14ac:dyDescent="0.2">
      <c r="X169" s="4"/>
      <c r="AN169" s="4"/>
      <c r="BD169" s="25"/>
    </row>
    <row r="170" spans="11:56" x14ac:dyDescent="0.2">
      <c r="X170" s="4"/>
      <c r="AN170" s="4"/>
      <c r="BD170" s="25"/>
    </row>
    <row r="171" spans="11:56" x14ac:dyDescent="0.2">
      <c r="X171" s="4"/>
      <c r="AN171" s="4"/>
      <c r="BD171" s="25"/>
    </row>
    <row r="172" spans="11:56" x14ac:dyDescent="0.2">
      <c r="X172" s="4"/>
      <c r="AN172" s="4"/>
      <c r="BD172" s="25"/>
    </row>
    <row r="173" spans="11:56" x14ac:dyDescent="0.2">
      <c r="X173" s="4"/>
      <c r="AN173" s="4"/>
      <c r="BD173" s="25"/>
    </row>
    <row r="174" spans="11:56" x14ac:dyDescent="0.2">
      <c r="X174" s="4"/>
      <c r="AN174" s="4"/>
      <c r="BD174" s="25"/>
    </row>
    <row r="175" spans="11:56" x14ac:dyDescent="0.2">
      <c r="X175" s="4"/>
      <c r="AN175" s="4"/>
      <c r="BD175" s="25"/>
    </row>
    <row r="176" spans="11:56" x14ac:dyDescent="0.2">
      <c r="X176" s="4"/>
      <c r="AN176" s="4"/>
      <c r="BD176" s="25"/>
    </row>
    <row r="177" spans="24:56" x14ac:dyDescent="0.2">
      <c r="X177" s="4"/>
      <c r="AN177" s="4"/>
      <c r="BD177" s="25"/>
    </row>
    <row r="178" spans="24:56" x14ac:dyDescent="0.2">
      <c r="X178" s="4"/>
      <c r="AN178" s="4"/>
      <c r="BD178" s="25"/>
    </row>
    <row r="179" spans="24:56" x14ac:dyDescent="0.2">
      <c r="X179" s="4"/>
      <c r="AN179" s="4"/>
      <c r="BD179" s="25"/>
    </row>
    <row r="180" spans="24:56" x14ac:dyDescent="0.2">
      <c r="X180" s="4"/>
      <c r="AN180" s="4"/>
      <c r="BD180" s="25"/>
    </row>
    <row r="181" spans="24:56" x14ac:dyDescent="0.2">
      <c r="X181" s="4"/>
      <c r="AN181" s="4"/>
      <c r="BD181" s="25"/>
    </row>
    <row r="182" spans="24:56" x14ac:dyDescent="0.2">
      <c r="X182" s="4"/>
      <c r="AN182" s="4"/>
      <c r="BD182" s="25"/>
    </row>
    <row r="183" spans="24:56" x14ac:dyDescent="0.2">
      <c r="X183" s="4"/>
      <c r="AN183" s="4"/>
      <c r="BD183" s="25"/>
    </row>
    <row r="184" spans="24:56" x14ac:dyDescent="0.2">
      <c r="X184" s="4"/>
      <c r="AN184" s="4"/>
      <c r="BD184" s="25"/>
    </row>
    <row r="185" spans="24:56" x14ac:dyDescent="0.2">
      <c r="X185" s="4"/>
      <c r="AN185" s="4"/>
      <c r="BD185" s="25"/>
    </row>
    <row r="186" spans="24:56" x14ac:dyDescent="0.2">
      <c r="X186" s="4"/>
      <c r="AN186" s="4"/>
      <c r="BD186" s="25"/>
    </row>
    <row r="187" spans="24:56" x14ac:dyDescent="0.2">
      <c r="X187" s="4"/>
      <c r="AN187" s="4"/>
      <c r="BD187" s="25"/>
    </row>
    <row r="188" spans="24:56" x14ac:dyDescent="0.2">
      <c r="X188" s="4"/>
      <c r="AN188" s="4"/>
      <c r="BD188" s="25"/>
    </row>
    <row r="189" spans="24:56" x14ac:dyDescent="0.2">
      <c r="X189" s="4"/>
      <c r="AN189" s="4"/>
      <c r="BD189" s="25"/>
    </row>
    <row r="190" spans="24:56" x14ac:dyDescent="0.2">
      <c r="X190" s="4"/>
      <c r="AN190" s="4"/>
      <c r="BD190" s="25"/>
    </row>
    <row r="191" spans="24:56" x14ac:dyDescent="0.2">
      <c r="X191" s="4"/>
      <c r="AN191" s="4"/>
      <c r="BD191" s="25"/>
    </row>
    <row r="192" spans="24:56" x14ac:dyDescent="0.2">
      <c r="X192" s="4"/>
      <c r="AN192" s="4"/>
      <c r="BD192" s="25"/>
    </row>
    <row r="193" spans="24:56" x14ac:dyDescent="0.2">
      <c r="X193" s="4"/>
      <c r="AN193" s="4"/>
      <c r="BD193" s="25"/>
    </row>
    <row r="194" spans="24:56" x14ac:dyDescent="0.2">
      <c r="X194" s="4"/>
      <c r="AN194" s="4"/>
      <c r="BD194" s="25"/>
    </row>
    <row r="195" spans="24:56" x14ac:dyDescent="0.2">
      <c r="X195" s="4"/>
      <c r="AN195" s="4"/>
      <c r="BD195" s="25"/>
    </row>
    <row r="196" spans="24:56" x14ac:dyDescent="0.2">
      <c r="X196" s="4"/>
      <c r="AN196" s="4"/>
      <c r="BD196" s="25"/>
    </row>
    <row r="197" spans="24:56" x14ac:dyDescent="0.2">
      <c r="X197" s="4"/>
      <c r="AN197" s="4"/>
      <c r="BD197" s="25"/>
    </row>
    <row r="198" spans="24:56" x14ac:dyDescent="0.2">
      <c r="X198" s="4"/>
      <c r="AN198" s="4"/>
      <c r="BD198" s="25"/>
    </row>
    <row r="199" spans="24:56" x14ac:dyDescent="0.2">
      <c r="X199" s="4"/>
      <c r="AN199" s="4"/>
      <c r="BD199" s="25"/>
    </row>
    <row r="200" spans="24:56" x14ac:dyDescent="0.2">
      <c r="X200" s="4"/>
      <c r="AN200" s="4"/>
      <c r="BD200" s="25"/>
    </row>
    <row r="201" spans="24:56" x14ac:dyDescent="0.2">
      <c r="X201" s="4"/>
      <c r="AN201" s="4"/>
      <c r="BD201" s="35"/>
    </row>
    <row r="202" spans="24:56" x14ac:dyDescent="0.2">
      <c r="X202" s="4"/>
      <c r="AN202" s="4"/>
      <c r="BD202" s="25"/>
    </row>
    <row r="203" spans="24:56" x14ac:dyDescent="0.2">
      <c r="X203" s="4"/>
      <c r="AN203" s="4"/>
      <c r="BD203" s="25"/>
    </row>
    <row r="204" spans="24:56" x14ac:dyDescent="0.2">
      <c r="X204" s="4"/>
      <c r="AN204" s="4"/>
      <c r="BD204" s="25"/>
    </row>
    <row r="205" spans="24:56" x14ac:dyDescent="0.2">
      <c r="X205" s="4"/>
      <c r="AN205" s="4"/>
      <c r="BD205" s="25"/>
    </row>
    <row r="206" spans="24:56" x14ac:dyDescent="0.2">
      <c r="X206" s="4"/>
      <c r="AN206" s="4"/>
      <c r="BD206" s="25"/>
    </row>
    <row r="207" spans="24:56" x14ac:dyDescent="0.2">
      <c r="X207" s="4"/>
      <c r="AN207" s="4"/>
      <c r="BD207" s="25"/>
    </row>
    <row r="208" spans="24:56" x14ac:dyDescent="0.2">
      <c r="X208" s="4"/>
      <c r="AN208" s="4"/>
      <c r="BD208" s="25"/>
    </row>
    <row r="209" spans="24:56" x14ac:dyDescent="0.2">
      <c r="X209" s="4"/>
      <c r="AN209" s="4"/>
      <c r="BD209" s="25"/>
    </row>
    <row r="210" spans="24:56" x14ac:dyDescent="0.2">
      <c r="X210" s="4"/>
      <c r="AN210" s="4"/>
      <c r="BD210" s="25"/>
    </row>
    <row r="211" spans="24:56" x14ac:dyDescent="0.2">
      <c r="X211" s="4"/>
      <c r="AN211" s="4"/>
      <c r="BD211" s="25"/>
    </row>
    <row r="212" spans="24:56" x14ac:dyDescent="0.2">
      <c r="X212" s="4"/>
      <c r="AN212" s="4"/>
      <c r="BD212" s="25"/>
    </row>
    <row r="213" spans="24:56" x14ac:dyDescent="0.2">
      <c r="X213" s="4"/>
      <c r="AN213" s="4"/>
      <c r="BD213" s="25"/>
    </row>
    <row r="214" spans="24:56" x14ac:dyDescent="0.2">
      <c r="X214" s="4"/>
      <c r="AN214" s="4"/>
      <c r="BD214" s="25"/>
    </row>
    <row r="215" spans="24:56" x14ac:dyDescent="0.2">
      <c r="X215" s="4"/>
      <c r="AN215" s="4"/>
      <c r="BD215" s="25"/>
    </row>
    <row r="216" spans="24:56" x14ac:dyDescent="0.2">
      <c r="X216" s="4"/>
      <c r="AN216" s="4"/>
      <c r="BD216" s="25"/>
    </row>
    <row r="217" spans="24:56" x14ac:dyDescent="0.2">
      <c r="X217" s="4"/>
      <c r="AN217" s="4"/>
      <c r="BD217" s="25"/>
    </row>
    <row r="218" spans="24:56" x14ac:dyDescent="0.2">
      <c r="X218" s="4"/>
      <c r="AN218" s="4"/>
      <c r="BD218" s="25"/>
    </row>
    <row r="219" spans="24:56" x14ac:dyDescent="0.2">
      <c r="X219" s="4"/>
      <c r="AN219" s="4"/>
      <c r="BD219" s="25"/>
    </row>
    <row r="220" spans="24:56" x14ac:dyDescent="0.2">
      <c r="X220" s="4"/>
      <c r="AN220" s="4"/>
      <c r="BD220" s="25"/>
    </row>
    <row r="221" spans="24:56" x14ac:dyDescent="0.2">
      <c r="X221" s="4"/>
      <c r="AN221" s="4"/>
      <c r="BD221" s="25"/>
    </row>
    <row r="222" spans="24:56" x14ac:dyDescent="0.2">
      <c r="X222" s="4"/>
      <c r="AN222" s="4"/>
      <c r="BD222" s="35"/>
    </row>
    <row r="223" spans="24:56" x14ac:dyDescent="0.2">
      <c r="X223" s="4"/>
      <c r="AN223" s="4"/>
      <c r="BD223" s="25"/>
    </row>
    <row r="224" spans="24:56" x14ac:dyDescent="0.2">
      <c r="X224" s="4"/>
      <c r="AN224" s="4"/>
      <c r="BD224" s="25"/>
    </row>
    <row r="225" spans="24:56" x14ac:dyDescent="0.2">
      <c r="X225" s="4"/>
      <c r="AN225" s="4"/>
      <c r="BD225" s="25"/>
    </row>
    <row r="226" spans="24:56" x14ac:dyDescent="0.2">
      <c r="X226" s="4"/>
      <c r="AN226" s="4"/>
      <c r="BD226" s="25"/>
    </row>
    <row r="227" spans="24:56" x14ac:dyDescent="0.2">
      <c r="X227" s="4"/>
      <c r="AN227" s="4"/>
      <c r="BD227" s="25"/>
    </row>
    <row r="228" spans="24:56" x14ac:dyDescent="0.2">
      <c r="X228" s="4"/>
      <c r="AN228" s="4"/>
      <c r="BD228" s="25"/>
    </row>
    <row r="229" spans="24:56" x14ac:dyDescent="0.2">
      <c r="X229" s="4"/>
      <c r="AN229" s="4"/>
      <c r="BD229" s="25"/>
    </row>
    <row r="230" spans="24:56" x14ac:dyDescent="0.2">
      <c r="X230" s="4"/>
      <c r="AN230" s="4"/>
      <c r="BD230" s="25"/>
    </row>
    <row r="231" spans="24:56" x14ac:dyDescent="0.2">
      <c r="X231" s="4"/>
      <c r="AN231" s="4"/>
      <c r="BD231" s="25"/>
    </row>
    <row r="232" spans="24:56" x14ac:dyDescent="0.2">
      <c r="X232" s="4"/>
      <c r="AN232" s="4"/>
      <c r="BD232" s="25"/>
    </row>
    <row r="233" spans="24:56" x14ac:dyDescent="0.2">
      <c r="X233" s="4"/>
      <c r="AN233" s="4"/>
      <c r="BD233" s="25"/>
    </row>
    <row r="234" spans="24:56" x14ac:dyDescent="0.2">
      <c r="X234" s="4"/>
      <c r="AN234" s="4"/>
      <c r="BD234" s="25"/>
    </row>
    <row r="235" spans="24:56" x14ac:dyDescent="0.2">
      <c r="X235" s="4"/>
      <c r="AN235" s="4"/>
      <c r="BD235" s="25"/>
    </row>
    <row r="236" spans="24:56" x14ac:dyDescent="0.2">
      <c r="X236" s="4"/>
      <c r="AN236" s="4"/>
      <c r="BD236" s="25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F1EF8-F87F-4750-A2FF-DDDBD2EBF92D}">
  <dimension ref="A1:M44"/>
  <sheetViews>
    <sheetView topLeftCell="A25" workbookViewId="0">
      <selection activeCell="A44" sqref="A44"/>
    </sheetView>
  </sheetViews>
  <sheetFormatPr defaultColWidth="8.85546875" defaultRowHeight="14.25" x14ac:dyDescent="0.2"/>
  <cols>
    <col min="1" max="5" width="8.85546875" style="1"/>
    <col min="6" max="6" width="9.140625" style="1" bestFit="1" customWidth="1"/>
    <col min="7" max="16384" width="8.85546875" style="1"/>
  </cols>
  <sheetData>
    <row r="1" spans="1:6" x14ac:dyDescent="0.2">
      <c r="A1" s="1" t="s">
        <v>116</v>
      </c>
    </row>
    <row r="4" spans="1:6" x14ac:dyDescent="0.2">
      <c r="A4" s="1" t="s">
        <v>117</v>
      </c>
    </row>
    <row r="5" spans="1:6" x14ac:dyDescent="0.2">
      <c r="C5" s="1" t="s">
        <v>118</v>
      </c>
      <c r="F5" s="2">
        <v>442800</v>
      </c>
    </row>
    <row r="6" spans="1:6" x14ac:dyDescent="0.2">
      <c r="C6" s="1" t="s">
        <v>120</v>
      </c>
      <c r="F6" s="2">
        <v>100000</v>
      </c>
    </row>
    <row r="7" spans="1:6" x14ac:dyDescent="0.2">
      <c r="C7" s="1" t="s">
        <v>119</v>
      </c>
      <c r="F7" s="2">
        <v>2000</v>
      </c>
    </row>
    <row r="8" spans="1:6" x14ac:dyDescent="0.2">
      <c r="F8" s="2"/>
    </row>
    <row r="9" spans="1:6" x14ac:dyDescent="0.2">
      <c r="F9" s="2"/>
    </row>
    <row r="10" spans="1:6" x14ac:dyDescent="0.2">
      <c r="F10" s="2"/>
    </row>
    <row r="11" spans="1:6" x14ac:dyDescent="0.2">
      <c r="F11" s="2"/>
    </row>
    <row r="12" spans="1:6" x14ac:dyDescent="0.2">
      <c r="F12" s="2"/>
    </row>
    <row r="13" spans="1:6" x14ac:dyDescent="0.2">
      <c r="F13" s="2"/>
    </row>
    <row r="14" spans="1:6" x14ac:dyDescent="0.2">
      <c r="F14" s="2"/>
    </row>
    <row r="15" spans="1:6" x14ac:dyDescent="0.2">
      <c r="F15" s="2"/>
    </row>
    <row r="16" spans="1:6" x14ac:dyDescent="0.2">
      <c r="F16" s="2"/>
    </row>
    <row r="17" spans="1:13" x14ac:dyDescent="0.2">
      <c r="F17" s="2"/>
    </row>
    <row r="18" spans="1:13" x14ac:dyDescent="0.2">
      <c r="A18" s="1" t="s">
        <v>121</v>
      </c>
      <c r="F18" s="2" t="s">
        <v>123</v>
      </c>
      <c r="G18" s="1" t="s">
        <v>124</v>
      </c>
      <c r="H18" s="1" t="s">
        <v>125</v>
      </c>
    </row>
    <row r="19" spans="1:13" x14ac:dyDescent="0.2">
      <c r="F19" s="2"/>
    </row>
    <row r="20" spans="1:13" x14ac:dyDescent="0.2">
      <c r="C20" s="1" t="s">
        <v>122</v>
      </c>
      <c r="F20" s="2">
        <v>49840</v>
      </c>
      <c r="G20" s="1">
        <f>F20*2</f>
        <v>99680</v>
      </c>
      <c r="H20" s="1">
        <f>F20*3</f>
        <v>149520</v>
      </c>
    </row>
    <row r="21" spans="1:13" x14ac:dyDescent="0.2">
      <c r="F21" s="2"/>
    </row>
    <row r="22" spans="1:13" x14ac:dyDescent="0.2">
      <c r="C22" s="1" t="s">
        <v>126</v>
      </c>
      <c r="D22" s="1" t="s">
        <v>127</v>
      </c>
      <c r="F22" s="2">
        <f>2600*12</f>
        <v>31200</v>
      </c>
      <c r="G22" s="2">
        <f>2600*12*2</f>
        <v>62400</v>
      </c>
      <c r="H22" s="2">
        <f>2600*12*3</f>
        <v>93600</v>
      </c>
    </row>
    <row r="23" spans="1:13" x14ac:dyDescent="0.2">
      <c r="F23" s="2"/>
    </row>
    <row r="24" spans="1:13" x14ac:dyDescent="0.2">
      <c r="F24" s="2"/>
    </row>
    <row r="25" spans="1:13" x14ac:dyDescent="0.2">
      <c r="C25" s="1" t="s">
        <v>128</v>
      </c>
    </row>
    <row r="27" spans="1:13" x14ac:dyDescent="0.2">
      <c r="F27" s="1">
        <v>2022</v>
      </c>
      <c r="M27" s="1" t="s">
        <v>136</v>
      </c>
    </row>
    <row r="28" spans="1:13" x14ac:dyDescent="0.2">
      <c r="B28" s="1" t="s">
        <v>131</v>
      </c>
      <c r="C28" s="1" t="s">
        <v>129</v>
      </c>
    </row>
    <row r="29" spans="1:13" x14ac:dyDescent="0.2">
      <c r="C29" s="1" t="s">
        <v>130</v>
      </c>
      <c r="F29" s="1">
        <v>49840</v>
      </c>
      <c r="G29" s="1" t="s">
        <v>133</v>
      </c>
      <c r="M29" s="1">
        <v>49840</v>
      </c>
    </row>
    <row r="32" spans="1:13" x14ac:dyDescent="0.2">
      <c r="B32" s="1" t="s">
        <v>132</v>
      </c>
      <c r="F32" s="1">
        <v>49840</v>
      </c>
      <c r="M32" s="1">
        <v>49840</v>
      </c>
    </row>
    <row r="35" spans="1:13" x14ac:dyDescent="0.2">
      <c r="B35" s="1" t="s">
        <v>134</v>
      </c>
      <c r="D35" s="1" t="s">
        <v>135</v>
      </c>
      <c r="F35" s="1">
        <f>2600*3*3</f>
        <v>23400</v>
      </c>
      <c r="M35" s="1">
        <f>2600*3*12</f>
        <v>93600</v>
      </c>
    </row>
    <row r="39" spans="1:13" x14ac:dyDescent="0.2">
      <c r="F39" s="1">
        <f>SUM(F29:F37)</f>
        <v>123080</v>
      </c>
      <c r="M39" s="1">
        <f>SUM(M29:M38)</f>
        <v>193280</v>
      </c>
    </row>
    <row r="42" spans="1:13" x14ac:dyDescent="0.2">
      <c r="A42" s="1" t="s">
        <v>137</v>
      </c>
    </row>
    <row r="44" spans="1:13" x14ac:dyDescent="0.2">
      <c r="A44" s="1" t="s">
        <v>138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Budget 2025 - 2027</vt:lpstr>
      <vt:lpstr>Kulfilter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Frede Zeiler</dc:creator>
  <cp:lastModifiedBy>Susanne Petersen</cp:lastModifiedBy>
  <cp:lastPrinted>2026-04-12T16:09:07Z</cp:lastPrinted>
  <dcterms:created xsi:type="dcterms:W3CDTF">2022-04-15T07:47:01Z</dcterms:created>
  <dcterms:modified xsi:type="dcterms:W3CDTF">2026-05-01T19:37:58Z</dcterms:modified>
</cp:coreProperties>
</file>